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<sst xmlns="http://schemas.openxmlformats.org/spreadsheetml/2006/main" count="209" uniqueCount="144">
  <si>
    <t>“两牌两证”相关费用退费清单</t>
  </si>
  <si>
    <t>序号</t>
  </si>
  <si>
    <t>清退单位名称</t>
  </si>
  <si>
    <t>两牌两证清退申请明细</t>
  </si>
  <si>
    <t>申请两牌两证清退费用总计</t>
  </si>
  <si>
    <t>核减事项</t>
  </si>
  <si>
    <t>审核确认清退金额</t>
  </si>
  <si>
    <t>核减原因</t>
  </si>
  <si>
    <t>深港申请金额</t>
  </si>
  <si>
    <t>水泥申请金额</t>
  </si>
  <si>
    <t>自卸车申请金额</t>
  </si>
  <si>
    <t>建设工程运输申请金额</t>
  </si>
  <si>
    <t>深港学院收取上门服务费</t>
  </si>
  <si>
    <t>水泥协会收取的车检/换牌费用</t>
  </si>
  <si>
    <t>其他</t>
  </si>
  <si>
    <t>核减合计金额</t>
  </si>
  <si>
    <t>深圳市远志建筑工程有限公司</t>
  </si>
  <si>
    <t>深圳环舆运输有限公司</t>
  </si>
  <si>
    <t>核减深港学院收取上门服务费</t>
  </si>
  <si>
    <t>深圳市世捷建筑工程有限公司</t>
  </si>
  <si>
    <t>深圳市信誉鑫运输有限公司</t>
  </si>
  <si>
    <t>蒋冬球</t>
  </si>
  <si>
    <t>深圳市岗宏城冠混凝土有限公司</t>
  </si>
  <si>
    <t>核减深港学院收取上门服务费和水泥协会收取的车检/换牌费用</t>
  </si>
  <si>
    <t>深圳宝创置业有限公司</t>
  </si>
  <si>
    <t>深圳市伟晟物流有限公司</t>
  </si>
  <si>
    <t>深圳市长源建筑工程有限公司</t>
  </si>
  <si>
    <t>深圳市科晋达汽车贸易有限公司</t>
  </si>
  <si>
    <t>深圳市泓邦运输有限公司</t>
  </si>
  <si>
    <t>深圳永恒工程开发有限公司</t>
  </si>
  <si>
    <t>深圳市鸿华达物流有限公司</t>
  </si>
  <si>
    <t>深圳路安通物流有限公司</t>
  </si>
  <si>
    <t>深圳市源佳物流有限公司</t>
  </si>
  <si>
    <t>深圳市安托山混凝土有限公司</t>
  </si>
  <si>
    <t>核减水泥协会收取的车检/换牌费用</t>
  </si>
  <si>
    <t>深圳市安托山沙井混凝土有限公司</t>
  </si>
  <si>
    <t>深圳市鸿力健混凝土有限公司</t>
  </si>
  <si>
    <t>深圳市林凤建筑工程有限公司</t>
  </si>
  <si>
    <t>深圳市格林旌货运有限公司</t>
  </si>
  <si>
    <t>刘晶</t>
  </si>
  <si>
    <t>深圳市运达搅拌车运输有限公司</t>
  </si>
  <si>
    <t>深圳市港辉国际物流有限公司</t>
  </si>
  <si>
    <t>深圳市昱成运输有限公司</t>
  </si>
  <si>
    <t>深圳市德源宝混凝土有限公司</t>
  </si>
  <si>
    <t>深圳市惠建混凝土有限公司</t>
  </si>
  <si>
    <t>深圳市晋荣投资有限公司</t>
  </si>
  <si>
    <t>深圳市金鑫混凝土有限公司</t>
  </si>
  <si>
    <t>深圳市德源宝混凝土有限公司公明分公司</t>
  </si>
  <si>
    <t>深圳市勤峰国际物流有限公司</t>
  </si>
  <si>
    <t>深圳市安利建运输有限公司</t>
  </si>
  <si>
    <t>深圳市利建混凝土有限公司横岗分公司</t>
  </si>
  <si>
    <t>深圳市利建混凝土有限公司</t>
  </si>
  <si>
    <t>深圳市鑫墩运输有限公司</t>
  </si>
  <si>
    <t>深圳市汇基砼混凝土有限公司</t>
  </si>
  <si>
    <t>深圳市利建混凝土有限公司石岩分公司</t>
  </si>
  <si>
    <t>深圳中利通物流有限公司</t>
  </si>
  <si>
    <t>深圳市万鑫盛业物流有限公司</t>
  </si>
  <si>
    <t>深圳市中天元实业有限公司</t>
  </si>
  <si>
    <t>深圳市智汇建材实业有限公司</t>
  </si>
  <si>
    <t>深圳市金龙辉建材有限公司</t>
  </si>
  <si>
    <t>深圳万义隆汽车服务有限公司</t>
  </si>
  <si>
    <t>深圳市力驰汽车服务有限公司</t>
  </si>
  <si>
    <t>深圳市为海建材有限公司大鹏分公司</t>
  </si>
  <si>
    <t>深圳市为海建材有限公司坑梓预拌混凝土有限公司</t>
  </si>
  <si>
    <t>深圳市为海建材有限公司坂田分公司</t>
  </si>
  <si>
    <t>深圳市为海建材有限公司坪东分公司</t>
  </si>
  <si>
    <t>深圳市百利邦物流有限公司</t>
  </si>
  <si>
    <t>深圳市利洋物流有限公司</t>
  </si>
  <si>
    <t>深圳市圣威宝混凝土有限公司</t>
  </si>
  <si>
    <t>深圳市天地良材混凝土有限公司</t>
  </si>
  <si>
    <t>深圳市丰发建筑劳务有限公司</t>
  </si>
  <si>
    <t>深圳市天地（集团）股份有限公司</t>
  </si>
  <si>
    <t>深圳市天地（集团）股份有限公司宝创混凝土分公司</t>
  </si>
  <si>
    <t>深圳市天地新材料有限公司宝创混凝土分公司</t>
  </si>
  <si>
    <t>深圳市晟金顺运输有限公司</t>
  </si>
  <si>
    <t>深圳市安守信商砼有限公司</t>
  </si>
  <si>
    <t>深圳市金皖汽车运输服务有限公司</t>
  </si>
  <si>
    <t>深圳市华闽达物流有限公司</t>
  </si>
  <si>
    <t>深圳市振惠建混凝土有限公司</t>
  </si>
  <si>
    <t>深圳市紫鼎物流有限公司</t>
  </si>
  <si>
    <t>深圳市高新源混凝土有限公司</t>
  </si>
  <si>
    <t>深圳市金保土石方运输有限公司</t>
  </si>
  <si>
    <t>深圳市港龙混凝土有限公司</t>
  </si>
  <si>
    <t>深圳市鹏晖工程机械设备有限公司</t>
  </si>
  <si>
    <t>深圳市汇鑫建材有限公司</t>
  </si>
  <si>
    <t>深圳市鸿生建材有限公司</t>
  </si>
  <si>
    <t>七大洲建设（深圳）有限公司</t>
  </si>
  <si>
    <t>深圳市亿豪建材有限公司</t>
  </si>
  <si>
    <t>深圳市正强混凝土有限公司</t>
  </si>
  <si>
    <t>深圳利满建建材有限公司</t>
  </si>
  <si>
    <t>赵中明</t>
  </si>
  <si>
    <t>深圳市金亨达建材有限公司</t>
  </si>
  <si>
    <t>深圳市通城运输有限公司</t>
  </si>
  <si>
    <t>深圳市晟兴建物流有限公司</t>
  </si>
  <si>
    <t>深圳市福盈混凝土有限公司</t>
  </si>
  <si>
    <t>深圳市东大洋混凝土有限公司</t>
  </si>
  <si>
    <t>深圳市坚固力混凝土有限公司</t>
  </si>
  <si>
    <t>深圳市和众祥建材有限公司</t>
  </si>
  <si>
    <t>深圳市永圣恒混凝土有限公司</t>
  </si>
  <si>
    <t>深圳市东大洋建材有限公司</t>
  </si>
  <si>
    <t>远新壮大建材（深圳）集团有限公司</t>
  </si>
  <si>
    <t>深圳市龙岗大工业区混凝土有限公司</t>
  </si>
  <si>
    <t>深圳市东大洋实业有限公司</t>
  </si>
  <si>
    <t>深圳市富通混凝土有限公司</t>
  </si>
  <si>
    <t>深圳市荣鑫盛业物流有限公司</t>
  </si>
  <si>
    <t>深圳市宝恒通城市渣土建筑工程有限公司</t>
  </si>
  <si>
    <t>深圳市文德物流有限公司</t>
  </si>
  <si>
    <t>深圳市前海凯格汽车运输服务有限公司</t>
  </si>
  <si>
    <t>深圳市华嘉驰工程机械租赁有限公司</t>
  </si>
  <si>
    <t>深圳市兴发诚汽车服务有限公司</t>
  </si>
  <si>
    <t>深圳市集瑞运输有限公司</t>
  </si>
  <si>
    <t>深圳市光年建设工程有限公司</t>
  </si>
  <si>
    <t>深圳市中协运输有限公司</t>
  </si>
  <si>
    <t>深圳市华庆源建筑材料有限公司</t>
  </si>
  <si>
    <t>深圳市宝益成预拌混凝土有限公司</t>
  </si>
  <si>
    <t>深圳市永恒业混凝土有限公司</t>
  </si>
  <si>
    <t>深圳市永庆建设工程有限公司</t>
  </si>
  <si>
    <t>深圳市守诺土石方工程有限公司</t>
  </si>
  <si>
    <t>核减自卸车协会无法确定已收取费用</t>
  </si>
  <si>
    <t>深圳市明融达物流有限公司</t>
  </si>
  <si>
    <t>深圳市中汇通物流有限公司</t>
  </si>
  <si>
    <t>深圳市风采汽车运输有限公司</t>
  </si>
  <si>
    <t>深圳市华菱星马物流有限公司</t>
  </si>
  <si>
    <t>深圳胜邦建设有限公司</t>
  </si>
  <si>
    <t>深圳市川海混凝土有限公司</t>
  </si>
  <si>
    <t>深圳市鸿运生运输有限公司</t>
  </si>
  <si>
    <t>深圳市金墩物流有限公司</t>
  </si>
  <si>
    <t>深圳市天地新材料有限公司远东混凝土分公司</t>
  </si>
  <si>
    <t>深圳市正堡实业有限公司</t>
  </si>
  <si>
    <t>深圳市至鸿建材有限公司</t>
  </si>
  <si>
    <t>深圳市世豪货运有限公司</t>
  </si>
  <si>
    <t>深圳市皖通达运输有限公司</t>
  </si>
  <si>
    <t>深圳市汇鑫混凝土有限公司</t>
  </si>
  <si>
    <t>深圳晋荣建混凝土有限公司</t>
  </si>
  <si>
    <t>深圳市新豪混凝土有限公司</t>
  </si>
  <si>
    <t>深圳市四海盛建筑工程有限公司</t>
  </si>
  <si>
    <t>深圳市鸿云建筑机械工程有限公司</t>
  </si>
  <si>
    <t>深圳市昊伟合顺混凝土有限公司</t>
  </si>
  <si>
    <t>深圳市达裕投资有限公司</t>
  </si>
  <si>
    <t>深圳市恒星建材有限公司</t>
  </si>
  <si>
    <t>深圳粤润建设工程有限公司</t>
  </si>
  <si>
    <t>李加保</t>
  </si>
  <si>
    <t>深圳市龙超投资发展有限公司</t>
  </si>
  <si>
    <t>广州市棠辉物流有限公司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</si>
</sst>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宋体"/>
      <family val="2"/>
    </font>
    <font>
      <sz val="9"/>
      <color theme="1"/>
      <name val="宋体"/>
      <family val="2"/>
    </font>
    <font>
      <sz val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4" fillId="11" borderId="5" applyNumberFormat="0" applyProtection="0">
      <alignment/>
    </xf>
    <xf numFmtId="0" fontId="23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2" fillId="0" borderId="16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28"/>
  <sheetViews>
    <sheetView tabSelected="1" workbookViewId="0" topLeftCell="A107">
      <selection activeCell="Q114" sqref="Q114"/>
    </sheetView>
  </sheetViews>
  <sheetFormatPr defaultColWidth="9.00390625" defaultRowHeight="15"/>
  <cols>
    <col min="1" max="1" width="4.57421875" style="2" customWidth="1"/>
    <col min="2" max="2" width="22.7109375" style="3" customWidth="1"/>
    <col min="3" max="3" width="11.00390625" style="4" customWidth="1"/>
    <col min="4" max="4" width="11.421875" style="4" customWidth="1"/>
    <col min="5" max="5" width="9.421875" style="4" customWidth="1"/>
    <col min="6" max="6" width="8.7109375" style="4" customWidth="1"/>
    <col min="7" max="7" width="11.7109375" style="4" customWidth="1"/>
    <col min="8" max="8" width="10.28125" style="4" customWidth="1"/>
    <col min="9" max="9" width="11.421875" style="4" customWidth="1"/>
    <col min="10" max="10" width="12.421875" style="4" customWidth="1"/>
    <col min="11" max="11" width="11.421875" style="4" customWidth="1"/>
    <col min="12" max="12" width="14.7109375" style="4" customWidth="1"/>
    <col min="13" max="13" width="21.28125" style="5" customWidth="1"/>
    <col min="14" max="37" width="9.00390625" style="1" customWidth="1"/>
    <col min="38" max="16356" width="11.421875" style="1" customWidth="1"/>
    <col min="16357" max="16384" width="9.00390625" style="6" customWidth="1"/>
  </cols>
  <sheetData>
    <row r="1" spans="1:13" s="1" customFormat="1" ht="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5" customHeight="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 t="s">
        <v>5</v>
      </c>
      <c r="I2" s="14"/>
      <c r="J2" s="14"/>
      <c r="K2" s="23"/>
      <c r="L2" s="13" t="s">
        <v>6</v>
      </c>
      <c r="M2" s="24" t="s">
        <v>7</v>
      </c>
    </row>
    <row r="3" spans="1:13" s="1" customFormat="1" ht="25" customHeight="1">
      <c r="A3" s="8"/>
      <c r="B3" s="9"/>
      <c r="C3" s="15" t="s">
        <v>8</v>
      </c>
      <c r="D3" s="15" t="s">
        <v>9</v>
      </c>
      <c r="E3" s="15" t="s">
        <v>10</v>
      </c>
      <c r="F3" s="15" t="s">
        <v>11</v>
      </c>
      <c r="G3" s="16"/>
      <c r="H3" s="17" t="s">
        <v>12</v>
      </c>
      <c r="I3" s="17" t="s">
        <v>13</v>
      </c>
      <c r="J3" s="25" t="s">
        <v>14</v>
      </c>
      <c r="K3" s="17" t="s">
        <v>15</v>
      </c>
      <c r="L3" s="16"/>
      <c r="M3" s="24"/>
    </row>
    <row r="4" spans="1:13" s="1" customFormat="1" ht="25" customHeight="1">
      <c r="A4" s="8">
        <v>1</v>
      </c>
      <c r="B4" s="18" t="s">
        <v>16</v>
      </c>
      <c r="C4" s="19">
        <v>0</v>
      </c>
      <c r="D4" s="19">
        <v>0</v>
      </c>
      <c r="E4" s="19">
        <v>1600</v>
      </c>
      <c r="F4" s="19">
        <v>0</v>
      </c>
      <c r="G4" s="19">
        <f>C4+D4+E4+F4</f>
        <v>1600</v>
      </c>
      <c r="H4" s="19">
        <v>0</v>
      </c>
      <c r="I4" s="19">
        <v>0</v>
      </c>
      <c r="J4" s="19">
        <v>0</v>
      </c>
      <c r="K4" s="19">
        <f>H4+I4+J4</f>
        <v>0</v>
      </c>
      <c r="L4" s="19">
        <f>G4-K4</f>
        <v>1600</v>
      </c>
      <c r="M4" s="24"/>
    </row>
    <row r="5" spans="1:13" s="1" customFormat="1" ht="25" customHeight="1">
      <c r="A5" s="8">
        <v>2</v>
      </c>
      <c r="B5" s="9" t="s">
        <v>17</v>
      </c>
      <c r="C5" s="19">
        <f>2400+600+1000</f>
        <v>4000</v>
      </c>
      <c r="D5" s="19">
        <f>4200+2800+3500+7000</f>
        <v>17500</v>
      </c>
      <c r="E5" s="19">
        <v>0</v>
      </c>
      <c r="F5" s="19">
        <v>0</v>
      </c>
      <c r="G5" s="19">
        <f aca="true" t="shared" si="0" ref="G5:G36">C5+D5+E5+F5</f>
        <v>21500</v>
      </c>
      <c r="H5" s="19">
        <v>200</v>
      </c>
      <c r="I5" s="19">
        <v>0</v>
      </c>
      <c r="J5" s="19">
        <v>0</v>
      </c>
      <c r="K5" s="19">
        <f aca="true" t="shared" si="1" ref="K5:K36">H5+I5+J5</f>
        <v>200</v>
      </c>
      <c r="L5" s="19">
        <f aca="true" t="shared" si="2" ref="L4:L67">G5-K5</f>
        <v>21300</v>
      </c>
      <c r="M5" s="24" t="s">
        <v>18</v>
      </c>
    </row>
    <row r="6" spans="1:13" s="1" customFormat="1" ht="25" customHeight="1">
      <c r="A6" s="8">
        <v>3</v>
      </c>
      <c r="B6" s="20" t="s">
        <v>19</v>
      </c>
      <c r="C6" s="19">
        <v>0</v>
      </c>
      <c r="D6" s="19">
        <f>7350+5250+5250</f>
        <v>17850</v>
      </c>
      <c r="E6" s="19">
        <v>0</v>
      </c>
      <c r="F6" s="19">
        <v>0</v>
      </c>
      <c r="G6" s="19">
        <f t="shared" si="0"/>
        <v>17850</v>
      </c>
      <c r="H6" s="19">
        <v>0</v>
      </c>
      <c r="I6" s="19">
        <v>0</v>
      </c>
      <c r="J6" s="19">
        <v>0</v>
      </c>
      <c r="K6" s="19">
        <f t="shared" si="1"/>
        <v>0</v>
      </c>
      <c r="L6" s="19">
        <f t="shared" si="2"/>
        <v>17850</v>
      </c>
      <c r="M6" s="24"/>
    </row>
    <row r="7" spans="1:13" s="1" customFormat="1" ht="25" customHeight="1">
      <c r="A7" s="8">
        <v>4</v>
      </c>
      <c r="B7" s="9" t="s">
        <v>20</v>
      </c>
      <c r="C7" s="19">
        <f>9000</f>
        <v>9000</v>
      </c>
      <c r="D7" s="19">
        <v>0</v>
      </c>
      <c r="E7" s="19">
        <v>0</v>
      </c>
      <c r="F7" s="19">
        <v>0</v>
      </c>
      <c r="G7" s="19">
        <f t="shared" si="0"/>
        <v>9000</v>
      </c>
      <c r="H7" s="19">
        <v>3000</v>
      </c>
      <c r="I7" s="19">
        <v>0</v>
      </c>
      <c r="J7" s="19">
        <v>0</v>
      </c>
      <c r="K7" s="19">
        <f t="shared" si="1"/>
        <v>3000</v>
      </c>
      <c r="L7" s="19">
        <f t="shared" si="2"/>
        <v>6000</v>
      </c>
      <c r="M7" s="24" t="s">
        <v>18</v>
      </c>
    </row>
    <row r="8" spans="1:13" s="1" customFormat="1" ht="25" customHeight="1">
      <c r="A8" s="8">
        <v>5</v>
      </c>
      <c r="B8" s="9" t="s">
        <v>21</v>
      </c>
      <c r="C8" s="19">
        <v>200</v>
      </c>
      <c r="D8" s="19">
        <v>0</v>
      </c>
      <c r="E8" s="19">
        <v>0</v>
      </c>
      <c r="F8" s="19">
        <v>0</v>
      </c>
      <c r="G8" s="19">
        <f t="shared" si="0"/>
        <v>200</v>
      </c>
      <c r="H8" s="19">
        <v>0</v>
      </c>
      <c r="I8" s="19">
        <v>0</v>
      </c>
      <c r="J8" s="19">
        <v>0</v>
      </c>
      <c r="K8" s="19">
        <f t="shared" si="1"/>
        <v>0</v>
      </c>
      <c r="L8" s="19">
        <f t="shared" si="2"/>
        <v>200</v>
      </c>
      <c r="M8" s="24"/>
    </row>
    <row r="9" spans="1:13" s="1" customFormat="1" ht="25" customHeight="1">
      <c r="A9" s="8">
        <v>6</v>
      </c>
      <c r="B9" s="9" t="s">
        <v>22</v>
      </c>
      <c r="C9" s="19">
        <f>1800+800+1400+2400+800+2400+1000+1200+3000+1000+1800</f>
        <v>17600</v>
      </c>
      <c r="D9" s="19">
        <f>1800+3000+400+1648+1400.8+2307.2+320+1935</f>
        <v>12811</v>
      </c>
      <c r="E9" s="19">
        <v>0</v>
      </c>
      <c r="F9" s="19">
        <v>0</v>
      </c>
      <c r="G9" s="19">
        <f t="shared" si="0"/>
        <v>30411</v>
      </c>
      <c r="H9" s="19">
        <v>1000</v>
      </c>
      <c r="I9" s="19">
        <f>400+1648+1400.8+2307.2+320+1935</f>
        <v>8011</v>
      </c>
      <c r="J9" s="19">
        <v>0</v>
      </c>
      <c r="K9" s="19">
        <f t="shared" si="1"/>
        <v>9011</v>
      </c>
      <c r="L9" s="19">
        <f t="shared" si="2"/>
        <v>21400</v>
      </c>
      <c r="M9" s="24" t="s">
        <v>23</v>
      </c>
    </row>
    <row r="10" spans="1:13" s="1" customFormat="1" ht="25" customHeight="1">
      <c r="A10" s="8">
        <v>7</v>
      </c>
      <c r="B10" s="9" t="s">
        <v>24</v>
      </c>
      <c r="C10" s="19">
        <f>800+1600</f>
        <v>2400</v>
      </c>
      <c r="D10" s="19">
        <f>7000</f>
        <v>7000</v>
      </c>
      <c r="E10" s="19">
        <v>0</v>
      </c>
      <c r="F10" s="19">
        <v>0</v>
      </c>
      <c r="G10" s="19">
        <f t="shared" si="0"/>
        <v>9400</v>
      </c>
      <c r="H10" s="19">
        <v>0</v>
      </c>
      <c r="I10" s="19">
        <v>0</v>
      </c>
      <c r="J10" s="19">
        <v>0</v>
      </c>
      <c r="K10" s="19">
        <f t="shared" si="1"/>
        <v>0</v>
      </c>
      <c r="L10" s="19">
        <f t="shared" si="2"/>
        <v>9400</v>
      </c>
      <c r="M10" s="24"/>
    </row>
    <row r="11" spans="1:13" s="1" customFormat="1" ht="25" customHeight="1">
      <c r="A11" s="8">
        <v>8</v>
      </c>
      <c r="B11" s="9" t="s">
        <v>25</v>
      </c>
      <c r="C11" s="19">
        <f>4800+2200</f>
        <v>7000</v>
      </c>
      <c r="D11" s="19">
        <f>3150+240+3850+2450</f>
        <v>9690</v>
      </c>
      <c r="E11" s="19">
        <v>0</v>
      </c>
      <c r="F11" s="19">
        <v>0</v>
      </c>
      <c r="G11" s="19">
        <f t="shared" si="0"/>
        <v>16690</v>
      </c>
      <c r="H11" s="19">
        <v>1600</v>
      </c>
      <c r="I11" s="19">
        <v>240</v>
      </c>
      <c r="J11" s="19">
        <v>0</v>
      </c>
      <c r="K11" s="19">
        <f t="shared" si="1"/>
        <v>1840</v>
      </c>
      <c r="L11" s="19">
        <f t="shared" si="2"/>
        <v>14850</v>
      </c>
      <c r="M11" s="24" t="s">
        <v>23</v>
      </c>
    </row>
    <row r="12" spans="1:13" s="1" customFormat="1" ht="25" customHeight="1">
      <c r="A12" s="8">
        <v>9</v>
      </c>
      <c r="B12" s="9" t="s">
        <v>26</v>
      </c>
      <c r="C12" s="19">
        <f>6600</f>
        <v>6600</v>
      </c>
      <c r="D12" s="19">
        <f>7000+3500+3500</f>
        <v>14000</v>
      </c>
      <c r="E12" s="19">
        <v>0</v>
      </c>
      <c r="F12" s="19">
        <v>0</v>
      </c>
      <c r="G12" s="19">
        <f t="shared" si="0"/>
        <v>20600</v>
      </c>
      <c r="H12" s="19">
        <v>2200</v>
      </c>
      <c r="I12" s="19">
        <v>0</v>
      </c>
      <c r="J12" s="19">
        <v>0</v>
      </c>
      <c r="K12" s="19">
        <f t="shared" si="1"/>
        <v>2200</v>
      </c>
      <c r="L12" s="19">
        <f t="shared" si="2"/>
        <v>18400</v>
      </c>
      <c r="M12" s="24" t="s">
        <v>18</v>
      </c>
    </row>
    <row r="13" spans="1:13" s="1" customFormat="1" ht="25" customHeight="1">
      <c r="A13" s="8">
        <v>10</v>
      </c>
      <c r="B13" s="9" t="s">
        <v>27</v>
      </c>
      <c r="C13" s="19">
        <f>900+18000+2400+8400+1800+900+600+5100+400+3200</f>
        <v>41700</v>
      </c>
      <c r="D13" s="19">
        <f>6750+750+2800+2100+8400+4000</f>
        <v>24800</v>
      </c>
      <c r="E13" s="19">
        <v>0</v>
      </c>
      <c r="F13" s="19">
        <v>0</v>
      </c>
      <c r="G13" s="19">
        <f t="shared" si="0"/>
        <v>66500</v>
      </c>
      <c r="H13" s="19">
        <v>12700</v>
      </c>
      <c r="I13" s="19">
        <f>8*150+2250</f>
        <v>3450</v>
      </c>
      <c r="J13" s="19">
        <v>0</v>
      </c>
      <c r="K13" s="19">
        <f t="shared" si="1"/>
        <v>16150</v>
      </c>
      <c r="L13" s="19">
        <f t="shared" si="2"/>
        <v>50350</v>
      </c>
      <c r="M13" s="24" t="s">
        <v>23</v>
      </c>
    </row>
    <row r="14" spans="1:13" s="1" customFormat="1" ht="25" customHeight="1">
      <c r="A14" s="8">
        <v>11</v>
      </c>
      <c r="B14" s="20" t="s">
        <v>28</v>
      </c>
      <c r="C14" s="19">
        <v>0</v>
      </c>
      <c r="D14" s="19">
        <f>7000+3150+350</f>
        <v>10500</v>
      </c>
      <c r="E14" s="19">
        <v>0</v>
      </c>
      <c r="F14" s="19">
        <v>0</v>
      </c>
      <c r="G14" s="19">
        <f t="shared" si="0"/>
        <v>10500</v>
      </c>
      <c r="H14" s="19">
        <v>0</v>
      </c>
      <c r="I14" s="19">
        <v>0</v>
      </c>
      <c r="J14" s="19">
        <v>0</v>
      </c>
      <c r="K14" s="19">
        <f t="shared" si="1"/>
        <v>0</v>
      </c>
      <c r="L14" s="19">
        <f t="shared" si="2"/>
        <v>10500</v>
      </c>
      <c r="M14" s="24"/>
    </row>
    <row r="15" spans="1:13" s="1" customFormat="1" ht="25" customHeight="1">
      <c r="A15" s="8">
        <v>12</v>
      </c>
      <c r="B15" s="9" t="s">
        <v>29</v>
      </c>
      <c r="C15" s="19">
        <f>5828+3384+4512</f>
        <v>13724</v>
      </c>
      <c r="D15" s="19">
        <v>0</v>
      </c>
      <c r="E15" s="19">
        <v>0</v>
      </c>
      <c r="F15" s="19">
        <v>0</v>
      </c>
      <c r="G15" s="19">
        <f t="shared" si="0"/>
        <v>13724</v>
      </c>
      <c r="H15" s="19">
        <v>0</v>
      </c>
      <c r="I15" s="19">
        <v>0</v>
      </c>
      <c r="J15" s="19">
        <v>0</v>
      </c>
      <c r="K15" s="19">
        <f t="shared" si="1"/>
        <v>0</v>
      </c>
      <c r="L15" s="19">
        <f t="shared" si="2"/>
        <v>13724</v>
      </c>
      <c r="M15" s="24"/>
    </row>
    <row r="16" spans="1:13" s="1" customFormat="1" ht="25" customHeight="1">
      <c r="A16" s="8">
        <v>13</v>
      </c>
      <c r="B16" s="9" t="s">
        <v>30</v>
      </c>
      <c r="C16" s="19">
        <f>4200</f>
        <v>4200</v>
      </c>
      <c r="D16" s="19">
        <f>7000+3500</f>
        <v>10500</v>
      </c>
      <c r="E16" s="19">
        <v>0</v>
      </c>
      <c r="F16" s="19">
        <v>0</v>
      </c>
      <c r="G16" s="19">
        <f t="shared" si="0"/>
        <v>14700</v>
      </c>
      <c r="H16" s="19">
        <v>1400</v>
      </c>
      <c r="I16" s="19">
        <v>0</v>
      </c>
      <c r="J16" s="19">
        <v>0</v>
      </c>
      <c r="K16" s="19">
        <f t="shared" si="1"/>
        <v>1400</v>
      </c>
      <c r="L16" s="19">
        <f t="shared" si="2"/>
        <v>13300</v>
      </c>
      <c r="M16" s="24" t="s">
        <v>18</v>
      </c>
    </row>
    <row r="17" spans="1:13" s="1" customFormat="1" ht="25" customHeight="1">
      <c r="A17" s="8">
        <v>14</v>
      </c>
      <c r="B17" s="21" t="s">
        <v>31</v>
      </c>
      <c r="C17" s="19">
        <f>6300+2400+9600</f>
        <v>18300</v>
      </c>
      <c r="D17" s="19">
        <f>5250+8750+8750+3500</f>
        <v>26250</v>
      </c>
      <c r="E17" s="19">
        <v>0</v>
      </c>
      <c r="F17" s="19">
        <v>0</v>
      </c>
      <c r="G17" s="19">
        <f t="shared" si="0"/>
        <v>44550</v>
      </c>
      <c r="H17" s="19">
        <f>2100+800+3200</f>
        <v>6100</v>
      </c>
      <c r="I17" s="19">
        <v>0</v>
      </c>
      <c r="J17" s="19">
        <v>0</v>
      </c>
      <c r="K17" s="19">
        <f t="shared" si="1"/>
        <v>6100</v>
      </c>
      <c r="L17" s="19">
        <f t="shared" si="2"/>
        <v>38450</v>
      </c>
      <c r="M17" s="24" t="s">
        <v>18</v>
      </c>
    </row>
    <row r="18" spans="1:13" s="1" customFormat="1" ht="25" customHeight="1">
      <c r="A18" s="8">
        <v>15</v>
      </c>
      <c r="B18" s="21" t="s">
        <v>32</v>
      </c>
      <c r="C18" s="19">
        <v>0</v>
      </c>
      <c r="D18" s="19">
        <v>0</v>
      </c>
      <c r="E18" s="19">
        <v>0</v>
      </c>
      <c r="F18" s="19">
        <v>1400</v>
      </c>
      <c r="G18" s="19">
        <f t="shared" si="0"/>
        <v>1400</v>
      </c>
      <c r="H18" s="19">
        <v>0</v>
      </c>
      <c r="I18" s="19">
        <v>0</v>
      </c>
      <c r="J18" s="19">
        <v>0</v>
      </c>
      <c r="K18" s="19">
        <f t="shared" si="1"/>
        <v>0</v>
      </c>
      <c r="L18" s="19">
        <f t="shared" si="2"/>
        <v>1400</v>
      </c>
      <c r="M18" s="24"/>
    </row>
    <row r="19" spans="1:13" s="1" customFormat="1" ht="25" customHeight="1">
      <c r="A19" s="8">
        <v>16</v>
      </c>
      <c r="B19" s="21" t="s">
        <v>33</v>
      </c>
      <c r="C19" s="19">
        <f>2600+400+200+2800+200+8500+8500+3800+800+1400+1200+1400+1600+1800+1600+1800+400+200+800</f>
        <v>40000</v>
      </c>
      <c r="D19" s="19">
        <f>7000+600+2018.8+9000+9000+9000</f>
        <v>36618.8</v>
      </c>
      <c r="E19" s="19">
        <v>0</v>
      </c>
      <c r="F19" s="19">
        <v>0</v>
      </c>
      <c r="G19" s="19">
        <f t="shared" si="0"/>
        <v>76618.8</v>
      </c>
      <c r="H19" s="19">
        <v>0</v>
      </c>
      <c r="I19" s="19">
        <f>600+2018.8</f>
        <v>2618.8</v>
      </c>
      <c r="J19" s="19">
        <v>0</v>
      </c>
      <c r="K19" s="19">
        <f t="shared" si="1"/>
        <v>2618.8</v>
      </c>
      <c r="L19" s="19">
        <f t="shared" si="2"/>
        <v>74000</v>
      </c>
      <c r="M19" s="24" t="s">
        <v>34</v>
      </c>
    </row>
    <row r="20" spans="1:13" s="1" customFormat="1" ht="25" customHeight="1">
      <c r="A20" s="8">
        <v>17</v>
      </c>
      <c r="B20" s="9" t="s">
        <v>35</v>
      </c>
      <c r="C20" s="19">
        <v>0</v>
      </c>
      <c r="D20" s="19">
        <v>9000</v>
      </c>
      <c r="E20" s="19">
        <v>0</v>
      </c>
      <c r="F20" s="19">
        <v>0</v>
      </c>
      <c r="G20" s="19">
        <f t="shared" si="0"/>
        <v>9000</v>
      </c>
      <c r="H20" s="19">
        <v>0</v>
      </c>
      <c r="I20" s="19">
        <v>0</v>
      </c>
      <c r="J20" s="19">
        <v>0</v>
      </c>
      <c r="K20" s="19">
        <f t="shared" si="1"/>
        <v>0</v>
      </c>
      <c r="L20" s="19">
        <f t="shared" si="2"/>
        <v>9000</v>
      </c>
      <c r="M20" s="24"/>
    </row>
    <row r="21" spans="1:13" s="1" customFormat="1" ht="25" customHeight="1">
      <c r="A21" s="8">
        <v>18</v>
      </c>
      <c r="B21" s="21" t="s">
        <v>36</v>
      </c>
      <c r="C21" s="19">
        <f>17100</f>
        <v>17100</v>
      </c>
      <c r="D21" s="19">
        <v>0</v>
      </c>
      <c r="E21" s="19">
        <v>0</v>
      </c>
      <c r="F21" s="19">
        <v>0</v>
      </c>
      <c r="G21" s="19">
        <f t="shared" si="0"/>
        <v>17100</v>
      </c>
      <c r="H21" s="19">
        <v>5700</v>
      </c>
      <c r="I21" s="19">
        <v>0</v>
      </c>
      <c r="J21" s="19">
        <v>0</v>
      </c>
      <c r="K21" s="19">
        <f t="shared" si="1"/>
        <v>5700</v>
      </c>
      <c r="L21" s="19">
        <f t="shared" si="2"/>
        <v>11400</v>
      </c>
      <c r="M21" s="24" t="s">
        <v>18</v>
      </c>
    </row>
    <row r="22" spans="1:13" s="1" customFormat="1" ht="25" customHeight="1">
      <c r="A22" s="8">
        <v>19</v>
      </c>
      <c r="B22" s="9" t="s">
        <v>37</v>
      </c>
      <c r="C22" s="19">
        <f>2100+300+200</f>
        <v>2600</v>
      </c>
      <c r="D22" s="19">
        <v>0</v>
      </c>
      <c r="E22" s="19">
        <v>0</v>
      </c>
      <c r="F22" s="19">
        <v>0</v>
      </c>
      <c r="G22" s="19">
        <f t="shared" si="0"/>
        <v>2600</v>
      </c>
      <c r="H22" s="19">
        <v>800</v>
      </c>
      <c r="I22" s="19">
        <v>0</v>
      </c>
      <c r="J22" s="19">
        <v>0</v>
      </c>
      <c r="K22" s="19">
        <f t="shared" si="1"/>
        <v>800</v>
      </c>
      <c r="L22" s="19">
        <f t="shared" si="2"/>
        <v>1800</v>
      </c>
      <c r="M22" s="24" t="s">
        <v>18</v>
      </c>
    </row>
    <row r="23" spans="1:13" s="1" customFormat="1" ht="25" customHeight="1">
      <c r="A23" s="8">
        <v>20</v>
      </c>
      <c r="B23" s="9" t="s">
        <v>38</v>
      </c>
      <c r="C23" s="19">
        <f>1200</f>
        <v>1200</v>
      </c>
      <c r="D23" s="19">
        <f>5850+3500+3500+7000+3000</f>
        <v>22850</v>
      </c>
      <c r="E23" s="19">
        <v>0</v>
      </c>
      <c r="F23" s="19">
        <v>0</v>
      </c>
      <c r="G23" s="19">
        <f t="shared" si="0"/>
        <v>24050</v>
      </c>
      <c r="H23" s="19">
        <v>0</v>
      </c>
      <c r="I23" s="19">
        <f>3*200</f>
        <v>600</v>
      </c>
      <c r="J23" s="19">
        <v>0</v>
      </c>
      <c r="K23" s="19">
        <f t="shared" si="1"/>
        <v>600</v>
      </c>
      <c r="L23" s="19">
        <f t="shared" si="2"/>
        <v>23450</v>
      </c>
      <c r="M23" s="24" t="s">
        <v>34</v>
      </c>
    </row>
    <row r="24" spans="1:13" s="1" customFormat="1" ht="25" customHeight="1">
      <c r="A24" s="8">
        <v>21</v>
      </c>
      <c r="B24" s="9" t="s">
        <v>39</v>
      </c>
      <c r="C24" s="19">
        <v>1600</v>
      </c>
      <c r="D24" s="19">
        <v>0</v>
      </c>
      <c r="E24" s="19">
        <v>0</v>
      </c>
      <c r="F24" s="19">
        <v>0</v>
      </c>
      <c r="G24" s="19">
        <f t="shared" si="0"/>
        <v>1600</v>
      </c>
      <c r="H24" s="19">
        <v>0</v>
      </c>
      <c r="I24" s="19">
        <v>0</v>
      </c>
      <c r="J24" s="19">
        <v>0</v>
      </c>
      <c r="K24" s="19">
        <f t="shared" si="1"/>
        <v>0</v>
      </c>
      <c r="L24" s="19">
        <f t="shared" si="2"/>
        <v>1600</v>
      </c>
      <c r="M24" s="24"/>
    </row>
    <row r="25" spans="1:13" s="1" customFormat="1" ht="25" customHeight="1">
      <c r="A25" s="8">
        <v>22</v>
      </c>
      <c r="B25" s="9" t="s">
        <v>40</v>
      </c>
      <c r="C25" s="19">
        <v>0</v>
      </c>
      <c r="D25" s="19">
        <f>8400+8400</f>
        <v>16800</v>
      </c>
      <c r="E25" s="19">
        <v>0</v>
      </c>
      <c r="F25" s="19">
        <v>0</v>
      </c>
      <c r="G25" s="19">
        <f t="shared" si="0"/>
        <v>16800</v>
      </c>
      <c r="H25" s="19">
        <v>0</v>
      </c>
      <c r="I25" s="19">
        <v>0</v>
      </c>
      <c r="J25" s="19">
        <v>0</v>
      </c>
      <c r="K25" s="19">
        <f t="shared" si="1"/>
        <v>0</v>
      </c>
      <c r="L25" s="19">
        <f t="shared" si="2"/>
        <v>16800</v>
      </c>
      <c r="M25" s="24"/>
    </row>
    <row r="26" spans="1:13" s="1" customFormat="1" ht="25" customHeight="1">
      <c r="A26" s="8">
        <v>23</v>
      </c>
      <c r="B26" s="9" t="s">
        <v>41</v>
      </c>
      <c r="C26" s="19">
        <v>3000</v>
      </c>
      <c r="D26" s="19">
        <f>7000+1050</f>
        <v>8050</v>
      </c>
      <c r="E26" s="19">
        <v>0</v>
      </c>
      <c r="F26" s="19">
        <v>0</v>
      </c>
      <c r="G26" s="19">
        <f t="shared" si="0"/>
        <v>11050</v>
      </c>
      <c r="H26" s="19">
        <v>1000</v>
      </c>
      <c r="I26" s="19">
        <v>0</v>
      </c>
      <c r="J26" s="19">
        <v>0</v>
      </c>
      <c r="K26" s="19">
        <f t="shared" si="1"/>
        <v>1000</v>
      </c>
      <c r="L26" s="19">
        <f t="shared" si="2"/>
        <v>10050</v>
      </c>
      <c r="M26" s="24" t="s">
        <v>18</v>
      </c>
    </row>
    <row r="27" spans="1:13" s="1" customFormat="1" ht="25" customHeight="1">
      <c r="A27" s="8">
        <v>24</v>
      </c>
      <c r="B27" s="9" t="s">
        <v>42</v>
      </c>
      <c r="C27" s="19">
        <f>8700+1500+9900+1800+3200+15000+8700</f>
        <v>48800</v>
      </c>
      <c r="D27" s="19">
        <f>7000+7700+7700+9300+300+5600</f>
        <v>37600</v>
      </c>
      <c r="E27" s="19">
        <v>0</v>
      </c>
      <c r="F27" s="19">
        <v>0</v>
      </c>
      <c r="G27" s="19">
        <f t="shared" si="0"/>
        <v>86400</v>
      </c>
      <c r="H27" s="19">
        <v>14600</v>
      </c>
      <c r="I27" s="19">
        <v>0</v>
      </c>
      <c r="J27" s="19">
        <v>0</v>
      </c>
      <c r="K27" s="19">
        <f t="shared" si="1"/>
        <v>14600</v>
      </c>
      <c r="L27" s="19">
        <f t="shared" si="2"/>
        <v>71800</v>
      </c>
      <c r="M27" s="24" t="s">
        <v>18</v>
      </c>
    </row>
    <row r="28" spans="1:13" s="1" customFormat="1" ht="25" customHeight="1">
      <c r="A28" s="8">
        <v>25</v>
      </c>
      <c r="B28" s="9" t="s">
        <v>43</v>
      </c>
      <c r="C28" s="19">
        <f>2000+7800+1500+1000+1000</f>
        <v>13300</v>
      </c>
      <c r="D28" s="19">
        <f>3000+1500+8400+6300+6300</f>
        <v>25500</v>
      </c>
      <c r="E28" s="19">
        <v>0</v>
      </c>
      <c r="F28" s="19">
        <v>0</v>
      </c>
      <c r="G28" s="19">
        <f t="shared" si="0"/>
        <v>38800</v>
      </c>
      <c r="H28" s="19">
        <v>3100</v>
      </c>
      <c r="I28" s="19">
        <v>0</v>
      </c>
      <c r="J28" s="19">
        <v>0</v>
      </c>
      <c r="K28" s="19">
        <f t="shared" si="1"/>
        <v>3100</v>
      </c>
      <c r="L28" s="19">
        <f t="shared" si="2"/>
        <v>35700</v>
      </c>
      <c r="M28" s="24" t="s">
        <v>18</v>
      </c>
    </row>
    <row r="29" spans="1:13" s="1" customFormat="1" ht="25" customHeight="1">
      <c r="A29" s="8">
        <v>26</v>
      </c>
      <c r="B29" s="9" t="s">
        <v>44</v>
      </c>
      <c r="C29" s="19">
        <v>0</v>
      </c>
      <c r="D29" s="19">
        <f>5250+5250</f>
        <v>10500</v>
      </c>
      <c r="E29" s="19">
        <v>0</v>
      </c>
      <c r="F29" s="19">
        <v>0</v>
      </c>
      <c r="G29" s="19">
        <f t="shared" si="0"/>
        <v>10500</v>
      </c>
      <c r="H29" s="19">
        <v>0</v>
      </c>
      <c r="I29" s="19">
        <v>0</v>
      </c>
      <c r="J29" s="19">
        <v>0</v>
      </c>
      <c r="K29" s="19">
        <f t="shared" si="1"/>
        <v>0</v>
      </c>
      <c r="L29" s="19">
        <f t="shared" si="2"/>
        <v>10500</v>
      </c>
      <c r="M29" s="24"/>
    </row>
    <row r="30" spans="1:13" s="1" customFormat="1" ht="25" customHeight="1">
      <c r="A30" s="8">
        <v>27</v>
      </c>
      <c r="B30" s="9" t="s">
        <v>45</v>
      </c>
      <c r="C30" s="19">
        <v>0</v>
      </c>
      <c r="D30" s="19">
        <f>7000+3500</f>
        <v>10500</v>
      </c>
      <c r="E30" s="19">
        <v>0</v>
      </c>
      <c r="F30" s="19">
        <v>0</v>
      </c>
      <c r="G30" s="19">
        <f t="shared" si="0"/>
        <v>10500</v>
      </c>
      <c r="H30" s="19">
        <v>0</v>
      </c>
      <c r="I30" s="19">
        <v>0</v>
      </c>
      <c r="J30" s="19">
        <v>0</v>
      </c>
      <c r="K30" s="19">
        <f t="shared" si="1"/>
        <v>0</v>
      </c>
      <c r="L30" s="19">
        <f t="shared" si="2"/>
        <v>10500</v>
      </c>
      <c r="M30" s="24"/>
    </row>
    <row r="31" spans="1:13" s="1" customFormat="1" ht="25" customHeight="1">
      <c r="A31" s="8">
        <v>28</v>
      </c>
      <c r="B31" s="9" t="s">
        <v>46</v>
      </c>
      <c r="C31" s="19">
        <f>1128+800+1000+600+200+200+200+200+200+200+200+200+200+200+200+200+800+600+1000+1200+1000+800</f>
        <v>11328</v>
      </c>
      <c r="D31" s="19">
        <f>7000+3000+3000+3500+3500+5700+5700</f>
        <v>31400</v>
      </c>
      <c r="E31" s="19">
        <v>0</v>
      </c>
      <c r="F31" s="19">
        <v>0</v>
      </c>
      <c r="G31" s="19">
        <f t="shared" si="0"/>
        <v>42728</v>
      </c>
      <c r="H31" s="19">
        <v>0</v>
      </c>
      <c r="I31" s="19">
        <v>0</v>
      </c>
      <c r="J31" s="19">
        <v>0</v>
      </c>
      <c r="K31" s="19">
        <f t="shared" si="1"/>
        <v>0</v>
      </c>
      <c r="L31" s="19">
        <f t="shared" si="2"/>
        <v>42728</v>
      </c>
      <c r="M31" s="24"/>
    </row>
    <row r="32" spans="1:13" s="1" customFormat="1" ht="25" customHeight="1">
      <c r="A32" s="8">
        <v>29</v>
      </c>
      <c r="B32" s="9" t="s">
        <v>47</v>
      </c>
      <c r="C32" s="19">
        <v>0</v>
      </c>
      <c r="D32" s="19">
        <v>9300</v>
      </c>
      <c r="E32" s="19">
        <v>0</v>
      </c>
      <c r="F32" s="19">
        <v>0</v>
      </c>
      <c r="G32" s="19">
        <f t="shared" si="0"/>
        <v>9300</v>
      </c>
      <c r="H32" s="19">
        <v>0</v>
      </c>
      <c r="I32" s="19">
        <v>0</v>
      </c>
      <c r="J32" s="19">
        <v>0</v>
      </c>
      <c r="K32" s="19">
        <f t="shared" si="1"/>
        <v>0</v>
      </c>
      <c r="L32" s="19">
        <f t="shared" si="2"/>
        <v>9300</v>
      </c>
      <c r="M32" s="26"/>
    </row>
    <row r="33" spans="1:13" s="1" customFormat="1" ht="25" customHeight="1">
      <c r="A33" s="8">
        <v>30</v>
      </c>
      <c r="B33" s="9" t="s">
        <v>48</v>
      </c>
      <c r="C33" s="19">
        <f>3600</f>
        <v>3600</v>
      </c>
      <c r="D33" s="19">
        <v>7000</v>
      </c>
      <c r="E33" s="19">
        <v>0</v>
      </c>
      <c r="F33" s="19">
        <v>0</v>
      </c>
      <c r="G33" s="19">
        <f t="shared" si="0"/>
        <v>10600</v>
      </c>
      <c r="H33" s="19">
        <v>0</v>
      </c>
      <c r="I33" s="19">
        <v>0</v>
      </c>
      <c r="J33" s="19">
        <v>0</v>
      </c>
      <c r="K33" s="19">
        <f t="shared" si="1"/>
        <v>0</v>
      </c>
      <c r="L33" s="19">
        <f t="shared" si="2"/>
        <v>10600</v>
      </c>
      <c r="M33" s="24"/>
    </row>
    <row r="34" spans="1:13" s="1" customFormat="1" ht="25" customHeight="1">
      <c r="A34" s="8">
        <v>31</v>
      </c>
      <c r="B34" s="21" t="s">
        <v>49</v>
      </c>
      <c r="C34" s="19">
        <f>1200+2400</f>
        <v>3600</v>
      </c>
      <c r="D34" s="19">
        <f>3500+1400+7500+3500+8050</f>
        <v>23950</v>
      </c>
      <c r="E34" s="19">
        <v>0</v>
      </c>
      <c r="F34" s="19">
        <v>0</v>
      </c>
      <c r="G34" s="19">
        <f t="shared" si="0"/>
        <v>27550</v>
      </c>
      <c r="H34" s="19">
        <v>0</v>
      </c>
      <c r="I34" s="19">
        <f>15*150</f>
        <v>2250</v>
      </c>
      <c r="J34" s="19">
        <v>0</v>
      </c>
      <c r="K34" s="19">
        <f t="shared" si="1"/>
        <v>2250</v>
      </c>
      <c r="L34" s="19">
        <f t="shared" si="2"/>
        <v>25300</v>
      </c>
      <c r="M34" s="24" t="s">
        <v>34</v>
      </c>
    </row>
    <row r="35" spans="1:13" s="1" customFormat="1" ht="25" customHeight="1">
      <c r="A35" s="8">
        <v>32</v>
      </c>
      <c r="B35" s="21" t="s">
        <v>50</v>
      </c>
      <c r="C35" s="19">
        <f>8400+6000+1500+3000+800</f>
        <v>19700</v>
      </c>
      <c r="D35" s="19">
        <f>6000+7000</f>
        <v>13000</v>
      </c>
      <c r="E35" s="19">
        <v>0</v>
      </c>
      <c r="F35" s="19">
        <v>0</v>
      </c>
      <c r="G35" s="19">
        <f t="shared" si="0"/>
        <v>32700</v>
      </c>
      <c r="H35" s="19">
        <v>6300</v>
      </c>
      <c r="I35" s="19">
        <v>0</v>
      </c>
      <c r="J35" s="19">
        <v>0</v>
      </c>
      <c r="K35" s="19">
        <f t="shared" si="1"/>
        <v>6300</v>
      </c>
      <c r="L35" s="19">
        <f t="shared" si="2"/>
        <v>26400</v>
      </c>
      <c r="M35" s="24" t="s">
        <v>18</v>
      </c>
    </row>
    <row r="36" spans="1:13" s="1" customFormat="1" ht="25" customHeight="1">
      <c r="A36" s="8">
        <v>33</v>
      </c>
      <c r="B36" s="9" t="s">
        <v>51</v>
      </c>
      <c r="C36" s="19">
        <f>5800+200+6000</f>
        <v>12000</v>
      </c>
      <c r="D36" s="19">
        <f>1700</f>
        <v>1700</v>
      </c>
      <c r="E36" s="19">
        <v>0</v>
      </c>
      <c r="F36" s="19">
        <v>0</v>
      </c>
      <c r="G36" s="19">
        <f t="shared" si="0"/>
        <v>13700</v>
      </c>
      <c r="H36" s="19">
        <v>0</v>
      </c>
      <c r="I36" s="19">
        <v>0</v>
      </c>
      <c r="J36" s="19">
        <v>0</v>
      </c>
      <c r="K36" s="19">
        <f t="shared" si="1"/>
        <v>0</v>
      </c>
      <c r="L36" s="19">
        <f t="shared" si="2"/>
        <v>13700</v>
      </c>
      <c r="M36" s="24"/>
    </row>
    <row r="37" spans="1:13" s="1" customFormat="1" ht="25" customHeight="1">
      <c r="A37" s="8">
        <v>34</v>
      </c>
      <c r="B37" s="21" t="s">
        <v>52</v>
      </c>
      <c r="C37" s="19">
        <f>1500+5400</f>
        <v>6900</v>
      </c>
      <c r="D37" s="19">
        <v>0</v>
      </c>
      <c r="E37" s="19">
        <v>0</v>
      </c>
      <c r="F37" s="19">
        <v>0</v>
      </c>
      <c r="G37" s="19">
        <f aca="true" t="shared" si="3" ref="G37:G68">C37+D37+E37+F37</f>
        <v>6900</v>
      </c>
      <c r="H37" s="19">
        <v>2300</v>
      </c>
      <c r="I37" s="19">
        <v>0</v>
      </c>
      <c r="J37" s="19">
        <v>0</v>
      </c>
      <c r="K37" s="19">
        <f aca="true" t="shared" si="4" ref="K37:K68">H37+I37+J37</f>
        <v>2300</v>
      </c>
      <c r="L37" s="19">
        <f t="shared" si="2"/>
        <v>4600</v>
      </c>
      <c r="M37" s="24" t="s">
        <v>18</v>
      </c>
    </row>
    <row r="38" spans="1:13" s="1" customFormat="1" ht="25" customHeight="1">
      <c r="A38" s="8">
        <v>35</v>
      </c>
      <c r="B38" s="21" t="s">
        <v>53</v>
      </c>
      <c r="C38" s="19">
        <f>6000+1200+9000+1400</f>
        <v>17600</v>
      </c>
      <c r="D38" s="19">
        <f>7500+7500+2700</f>
        <v>17700</v>
      </c>
      <c r="E38" s="19">
        <v>0</v>
      </c>
      <c r="F38" s="19">
        <v>0</v>
      </c>
      <c r="G38" s="19">
        <f t="shared" si="3"/>
        <v>35300</v>
      </c>
      <c r="H38" s="19">
        <v>0</v>
      </c>
      <c r="I38" s="19">
        <v>0</v>
      </c>
      <c r="J38" s="19">
        <v>0</v>
      </c>
      <c r="K38" s="19">
        <f t="shared" si="4"/>
        <v>0</v>
      </c>
      <c r="L38" s="19">
        <f t="shared" si="2"/>
        <v>35300</v>
      </c>
      <c r="M38" s="24"/>
    </row>
    <row r="39" spans="1:13" s="1" customFormat="1" ht="25" customHeight="1">
      <c r="A39" s="8">
        <v>36</v>
      </c>
      <c r="B39" s="21" t="s">
        <v>54</v>
      </c>
      <c r="C39" s="19">
        <f>1800+1800</f>
        <v>3600</v>
      </c>
      <c r="D39" s="19">
        <v>0</v>
      </c>
      <c r="E39" s="19">
        <v>0</v>
      </c>
      <c r="F39" s="19">
        <v>0</v>
      </c>
      <c r="G39" s="19">
        <f t="shared" si="3"/>
        <v>3600</v>
      </c>
      <c r="H39" s="19">
        <v>600</v>
      </c>
      <c r="I39" s="19">
        <v>0</v>
      </c>
      <c r="J39" s="19">
        <v>0</v>
      </c>
      <c r="K39" s="19">
        <f t="shared" si="4"/>
        <v>600</v>
      </c>
      <c r="L39" s="19">
        <f t="shared" si="2"/>
        <v>3000</v>
      </c>
      <c r="M39" s="24" t="s">
        <v>18</v>
      </c>
    </row>
    <row r="40" spans="1:13" s="1" customFormat="1" ht="25" customHeight="1">
      <c r="A40" s="8">
        <v>37</v>
      </c>
      <c r="B40" s="9" t="s">
        <v>55</v>
      </c>
      <c r="C40" s="19">
        <f>9900+8100+9000</f>
        <v>27000</v>
      </c>
      <c r="D40" s="19">
        <f>7000+7000+7000</f>
        <v>21000</v>
      </c>
      <c r="E40" s="19">
        <v>0</v>
      </c>
      <c r="F40" s="19">
        <v>0</v>
      </c>
      <c r="G40" s="19">
        <f t="shared" si="3"/>
        <v>48000</v>
      </c>
      <c r="H40" s="19">
        <f>3000+3300+2700</f>
        <v>9000</v>
      </c>
      <c r="I40" s="19">
        <v>0</v>
      </c>
      <c r="J40" s="19">
        <v>0</v>
      </c>
      <c r="K40" s="19">
        <f t="shared" si="4"/>
        <v>9000</v>
      </c>
      <c r="L40" s="19">
        <f t="shared" si="2"/>
        <v>39000</v>
      </c>
      <c r="M40" s="24" t="s">
        <v>18</v>
      </c>
    </row>
    <row r="41" spans="1:13" s="1" customFormat="1" ht="25" customHeight="1">
      <c r="A41" s="8">
        <v>38</v>
      </c>
      <c r="B41" s="9" t="s">
        <v>56</v>
      </c>
      <c r="C41" s="19">
        <f>10200+7800</f>
        <v>18000</v>
      </c>
      <c r="D41" s="19">
        <f>4000+10000+3500+5250+5250</f>
        <v>28000</v>
      </c>
      <c r="E41" s="19">
        <v>0</v>
      </c>
      <c r="F41" s="19">
        <v>0</v>
      </c>
      <c r="G41" s="19">
        <f t="shared" si="3"/>
        <v>46000</v>
      </c>
      <c r="H41" s="19">
        <f>3400+2600</f>
        <v>6000</v>
      </c>
      <c r="I41" s="19">
        <v>0</v>
      </c>
      <c r="J41" s="19">
        <v>0</v>
      </c>
      <c r="K41" s="19">
        <f t="shared" si="4"/>
        <v>6000</v>
      </c>
      <c r="L41" s="19">
        <f t="shared" si="2"/>
        <v>40000</v>
      </c>
      <c r="M41" s="24" t="s">
        <v>18</v>
      </c>
    </row>
    <row r="42" spans="1:13" s="1" customFormat="1" ht="25" customHeight="1">
      <c r="A42" s="8">
        <v>39</v>
      </c>
      <c r="B42" s="9" t="s">
        <v>57</v>
      </c>
      <c r="C42" s="19">
        <v>0</v>
      </c>
      <c r="D42" s="19">
        <f>7000+7000</f>
        <v>14000</v>
      </c>
      <c r="E42" s="19">
        <v>0</v>
      </c>
      <c r="F42" s="19">
        <v>0</v>
      </c>
      <c r="G42" s="19">
        <f t="shared" si="3"/>
        <v>14000</v>
      </c>
      <c r="H42" s="19">
        <v>0</v>
      </c>
      <c r="I42" s="19">
        <v>0</v>
      </c>
      <c r="J42" s="19">
        <v>0</v>
      </c>
      <c r="K42" s="19">
        <f t="shared" si="4"/>
        <v>0</v>
      </c>
      <c r="L42" s="19">
        <f t="shared" si="2"/>
        <v>14000</v>
      </c>
      <c r="M42" s="24"/>
    </row>
    <row r="43" spans="1:13" s="1" customFormat="1" ht="25" customHeight="1">
      <c r="A43" s="8">
        <v>40</v>
      </c>
      <c r="B43" s="21" t="s">
        <v>58</v>
      </c>
      <c r="C43" s="19">
        <f>13900+2000+13500+7200</f>
        <v>36600</v>
      </c>
      <c r="D43" s="19">
        <f>7000+4550+5000+5250+5250+10700</f>
        <v>37750</v>
      </c>
      <c r="E43" s="19">
        <v>0</v>
      </c>
      <c r="F43" s="19">
        <v>0</v>
      </c>
      <c r="G43" s="19">
        <f t="shared" si="3"/>
        <v>74350</v>
      </c>
      <c r="H43" s="19">
        <v>11200</v>
      </c>
      <c r="I43" s="19">
        <f>200+10*150</f>
        <v>1700</v>
      </c>
      <c r="J43" s="19">
        <v>0</v>
      </c>
      <c r="K43" s="19">
        <f t="shared" si="4"/>
        <v>12900</v>
      </c>
      <c r="L43" s="19">
        <f t="shared" si="2"/>
        <v>61450</v>
      </c>
      <c r="M43" s="24" t="s">
        <v>23</v>
      </c>
    </row>
    <row r="44" spans="1:13" s="1" customFormat="1" ht="25" customHeight="1">
      <c r="A44" s="8">
        <v>41</v>
      </c>
      <c r="B44" s="21" t="s">
        <v>59</v>
      </c>
      <c r="C44" s="19">
        <v>1000</v>
      </c>
      <c r="D44" s="19">
        <v>0</v>
      </c>
      <c r="E44" s="19">
        <v>0</v>
      </c>
      <c r="F44" s="19">
        <v>0</v>
      </c>
      <c r="G44" s="19">
        <f t="shared" si="3"/>
        <v>1000</v>
      </c>
      <c r="H44" s="19">
        <v>0</v>
      </c>
      <c r="I44" s="19">
        <v>0</v>
      </c>
      <c r="J44" s="19">
        <v>0</v>
      </c>
      <c r="K44" s="19">
        <f t="shared" si="4"/>
        <v>0</v>
      </c>
      <c r="L44" s="19">
        <f t="shared" si="2"/>
        <v>1000</v>
      </c>
      <c r="M44" s="24"/>
    </row>
    <row r="45" spans="1:13" s="1" customFormat="1" ht="25" customHeight="1">
      <c r="A45" s="8">
        <v>42</v>
      </c>
      <c r="B45" s="9" t="s">
        <v>60</v>
      </c>
      <c r="C45" s="19">
        <f>5700+9900</f>
        <v>15600</v>
      </c>
      <c r="D45" s="19">
        <f>7350+6300</f>
        <v>13650</v>
      </c>
      <c r="E45" s="19">
        <v>0</v>
      </c>
      <c r="F45" s="19">
        <v>0</v>
      </c>
      <c r="G45" s="19">
        <f t="shared" si="3"/>
        <v>29250</v>
      </c>
      <c r="H45" s="19">
        <v>5200</v>
      </c>
      <c r="I45" s="19">
        <v>0</v>
      </c>
      <c r="J45" s="19">
        <v>0</v>
      </c>
      <c r="K45" s="19">
        <f t="shared" si="4"/>
        <v>5200</v>
      </c>
      <c r="L45" s="19">
        <f t="shared" si="2"/>
        <v>24050</v>
      </c>
      <c r="M45" s="24" t="s">
        <v>18</v>
      </c>
    </row>
    <row r="46" spans="1:13" s="1" customFormat="1" ht="25" customHeight="1">
      <c r="A46" s="8">
        <v>43</v>
      </c>
      <c r="B46" s="22" t="s">
        <v>61</v>
      </c>
      <c r="C46" s="19">
        <f>13500+600</f>
        <v>14100</v>
      </c>
      <c r="D46" s="19">
        <v>0</v>
      </c>
      <c r="E46" s="19">
        <v>0</v>
      </c>
      <c r="F46" s="19">
        <v>0</v>
      </c>
      <c r="G46" s="19">
        <f t="shared" si="3"/>
        <v>14100</v>
      </c>
      <c r="H46" s="19">
        <v>4700</v>
      </c>
      <c r="I46" s="19">
        <v>0</v>
      </c>
      <c r="J46" s="19">
        <v>0</v>
      </c>
      <c r="K46" s="19">
        <f t="shared" si="4"/>
        <v>4700</v>
      </c>
      <c r="L46" s="19">
        <f t="shared" si="2"/>
        <v>9400</v>
      </c>
      <c r="M46" s="24" t="s">
        <v>18</v>
      </c>
    </row>
    <row r="47" spans="1:13" s="1" customFormat="1" ht="25" customHeight="1">
      <c r="A47" s="8">
        <v>44</v>
      </c>
      <c r="B47" s="9" t="s">
        <v>62</v>
      </c>
      <c r="C47" s="19">
        <v>0</v>
      </c>
      <c r="D47" s="19">
        <f>7000+4200+1750</f>
        <v>12950</v>
      </c>
      <c r="E47" s="19">
        <v>0</v>
      </c>
      <c r="F47" s="19">
        <v>0</v>
      </c>
      <c r="G47" s="19">
        <f t="shared" si="3"/>
        <v>12950</v>
      </c>
      <c r="H47" s="19">
        <v>0</v>
      </c>
      <c r="I47" s="19">
        <v>0</v>
      </c>
      <c r="J47" s="19">
        <v>0</v>
      </c>
      <c r="K47" s="19">
        <f t="shared" si="4"/>
        <v>0</v>
      </c>
      <c r="L47" s="19">
        <f t="shared" si="2"/>
        <v>12950</v>
      </c>
      <c r="M47" s="24"/>
    </row>
    <row r="48" spans="1:13" s="1" customFormat="1" ht="25" customHeight="1">
      <c r="A48" s="8">
        <v>45</v>
      </c>
      <c r="B48" s="9" t="s">
        <v>63</v>
      </c>
      <c r="C48" s="19">
        <v>0</v>
      </c>
      <c r="D48" s="19">
        <f>1750+5100+5100</f>
        <v>11950</v>
      </c>
      <c r="E48" s="19">
        <v>0</v>
      </c>
      <c r="F48" s="19">
        <v>0</v>
      </c>
      <c r="G48" s="19">
        <f t="shared" si="3"/>
        <v>11950</v>
      </c>
      <c r="H48" s="19">
        <v>0</v>
      </c>
      <c r="I48" s="19">
        <v>0</v>
      </c>
      <c r="J48" s="19">
        <v>0</v>
      </c>
      <c r="K48" s="19">
        <f t="shared" si="4"/>
        <v>0</v>
      </c>
      <c r="L48" s="19">
        <f t="shared" si="2"/>
        <v>11950</v>
      </c>
      <c r="M48" s="24"/>
    </row>
    <row r="49" spans="1:13" s="1" customFormat="1" ht="25" customHeight="1">
      <c r="A49" s="8">
        <v>46</v>
      </c>
      <c r="B49" s="9" t="s">
        <v>64</v>
      </c>
      <c r="C49" s="19">
        <v>0</v>
      </c>
      <c r="D49" s="19">
        <f>9500+5250</f>
        <v>14750</v>
      </c>
      <c r="E49" s="19">
        <v>0</v>
      </c>
      <c r="F49" s="19">
        <v>0</v>
      </c>
      <c r="G49" s="19">
        <f t="shared" si="3"/>
        <v>14750</v>
      </c>
      <c r="H49" s="19">
        <v>0</v>
      </c>
      <c r="I49" s="19">
        <f>40*150</f>
        <v>6000</v>
      </c>
      <c r="J49" s="19">
        <v>0</v>
      </c>
      <c r="K49" s="19">
        <f t="shared" si="4"/>
        <v>6000</v>
      </c>
      <c r="L49" s="19">
        <f t="shared" si="2"/>
        <v>8750</v>
      </c>
      <c r="M49" s="24" t="s">
        <v>34</v>
      </c>
    </row>
    <row r="50" spans="1:13" s="1" customFormat="1" ht="25" customHeight="1">
      <c r="A50" s="8">
        <v>47</v>
      </c>
      <c r="B50" s="9" t="s">
        <v>65</v>
      </c>
      <c r="C50" s="19">
        <v>0</v>
      </c>
      <c r="D50" s="19">
        <f>3000+5250</f>
        <v>8250</v>
      </c>
      <c r="E50" s="19">
        <v>0</v>
      </c>
      <c r="F50" s="19">
        <v>0</v>
      </c>
      <c r="G50" s="19">
        <f t="shared" si="3"/>
        <v>8250</v>
      </c>
      <c r="H50" s="19">
        <v>0</v>
      </c>
      <c r="I50" s="19">
        <v>0</v>
      </c>
      <c r="J50" s="19">
        <v>0</v>
      </c>
      <c r="K50" s="19">
        <f t="shared" si="4"/>
        <v>0</v>
      </c>
      <c r="L50" s="19">
        <f t="shared" si="2"/>
        <v>8250</v>
      </c>
      <c r="M50" s="24"/>
    </row>
    <row r="51" spans="1:13" s="1" customFormat="1" ht="25" customHeight="1">
      <c r="A51" s="8">
        <v>48</v>
      </c>
      <c r="B51" s="21" t="s">
        <v>66</v>
      </c>
      <c r="C51" s="19">
        <f>9600+8700+4800</f>
        <v>23100</v>
      </c>
      <c r="D51" s="19">
        <f>7000+12900</f>
        <v>19900</v>
      </c>
      <c r="E51" s="19">
        <v>0</v>
      </c>
      <c r="F51" s="19">
        <v>0</v>
      </c>
      <c r="G51" s="19">
        <f t="shared" si="3"/>
        <v>43000</v>
      </c>
      <c r="H51" s="19">
        <f>1600+3200+2900</f>
        <v>7700</v>
      </c>
      <c r="I51" s="19">
        <v>0</v>
      </c>
      <c r="J51" s="19">
        <v>0</v>
      </c>
      <c r="K51" s="19">
        <f t="shared" si="4"/>
        <v>7700</v>
      </c>
      <c r="L51" s="19">
        <f t="shared" si="2"/>
        <v>35300</v>
      </c>
      <c r="M51" s="24" t="s">
        <v>18</v>
      </c>
    </row>
    <row r="52" spans="1:13" s="1" customFormat="1" ht="25" customHeight="1">
      <c r="A52" s="8">
        <v>49</v>
      </c>
      <c r="B52" s="9" t="s">
        <v>67</v>
      </c>
      <c r="C52" s="19">
        <f>9000+300</f>
        <v>9300</v>
      </c>
      <c r="D52" s="19">
        <v>0</v>
      </c>
      <c r="E52" s="19">
        <v>0</v>
      </c>
      <c r="F52" s="19">
        <v>0</v>
      </c>
      <c r="G52" s="19">
        <f t="shared" si="3"/>
        <v>9300</v>
      </c>
      <c r="H52" s="19">
        <v>3100</v>
      </c>
      <c r="I52" s="19">
        <v>0</v>
      </c>
      <c r="J52" s="19">
        <v>0</v>
      </c>
      <c r="K52" s="19">
        <f t="shared" si="4"/>
        <v>3100</v>
      </c>
      <c r="L52" s="19">
        <f t="shared" si="2"/>
        <v>6200</v>
      </c>
      <c r="M52" s="24" t="s">
        <v>18</v>
      </c>
    </row>
    <row r="53" spans="1:13" s="1" customFormat="1" ht="25" customHeight="1">
      <c r="A53" s="8">
        <v>50</v>
      </c>
      <c r="B53" s="9" t="s">
        <v>68</v>
      </c>
      <c r="C53" s="19">
        <f>2200+5400</f>
        <v>7600</v>
      </c>
      <c r="D53" s="19">
        <f>6000</f>
        <v>6000</v>
      </c>
      <c r="E53" s="19">
        <v>0</v>
      </c>
      <c r="F53" s="19">
        <v>0</v>
      </c>
      <c r="G53" s="19">
        <f t="shared" si="3"/>
        <v>13600</v>
      </c>
      <c r="H53" s="19">
        <v>1800</v>
      </c>
      <c r="I53" s="19">
        <v>0</v>
      </c>
      <c r="J53" s="19">
        <v>0</v>
      </c>
      <c r="K53" s="19">
        <f t="shared" si="4"/>
        <v>1800</v>
      </c>
      <c r="L53" s="19">
        <f t="shared" si="2"/>
        <v>11800</v>
      </c>
      <c r="M53" s="24" t="s">
        <v>18</v>
      </c>
    </row>
    <row r="54" spans="1:13" s="1" customFormat="1" ht="25" customHeight="1">
      <c r="A54" s="8">
        <v>51</v>
      </c>
      <c r="B54" s="21" t="s">
        <v>69</v>
      </c>
      <c r="C54" s="19">
        <v>12300</v>
      </c>
      <c r="D54" s="19">
        <v>0</v>
      </c>
      <c r="E54" s="19">
        <v>0</v>
      </c>
      <c r="F54" s="19">
        <v>0</v>
      </c>
      <c r="G54" s="19">
        <f t="shared" si="3"/>
        <v>12300</v>
      </c>
      <c r="H54" s="19">
        <v>4100</v>
      </c>
      <c r="I54" s="19">
        <v>0</v>
      </c>
      <c r="J54" s="19">
        <v>0</v>
      </c>
      <c r="K54" s="19">
        <f t="shared" si="4"/>
        <v>4100</v>
      </c>
      <c r="L54" s="19">
        <f t="shared" si="2"/>
        <v>8200</v>
      </c>
      <c r="M54" s="24" t="s">
        <v>18</v>
      </c>
    </row>
    <row r="55" spans="1:13" s="1" customFormat="1" ht="25" customHeight="1">
      <c r="A55" s="8">
        <v>52</v>
      </c>
      <c r="B55" s="9" t="s">
        <v>70</v>
      </c>
      <c r="C55" s="19">
        <f>2444+376+2820+752+188+3008+564+1316+752+188+1128+752+1128+2068+1316+940+1316+3572+3008</f>
        <v>27636</v>
      </c>
      <c r="D55" s="19">
        <v>0</v>
      </c>
      <c r="E55" s="19">
        <v>0</v>
      </c>
      <c r="F55" s="19">
        <v>0</v>
      </c>
      <c r="G55" s="19">
        <f t="shared" si="3"/>
        <v>27636</v>
      </c>
      <c r="H55" s="19">
        <v>0</v>
      </c>
      <c r="I55" s="19">
        <v>0</v>
      </c>
      <c r="J55" s="19">
        <v>0</v>
      </c>
      <c r="K55" s="19">
        <f t="shared" si="4"/>
        <v>0</v>
      </c>
      <c r="L55" s="19">
        <f t="shared" si="2"/>
        <v>27636</v>
      </c>
      <c r="M55" s="24"/>
    </row>
    <row r="56" spans="1:13" s="1" customFormat="1" ht="25" customHeight="1">
      <c r="A56" s="8">
        <v>53</v>
      </c>
      <c r="B56" s="21" t="s">
        <v>71</v>
      </c>
      <c r="C56" s="19">
        <f>2600</f>
        <v>2600</v>
      </c>
      <c r="D56" s="19">
        <f>6300+2400</f>
        <v>8700</v>
      </c>
      <c r="E56" s="19">
        <v>0</v>
      </c>
      <c r="F56" s="19">
        <v>0</v>
      </c>
      <c r="G56" s="19">
        <f t="shared" si="3"/>
        <v>11300</v>
      </c>
      <c r="H56" s="19">
        <v>0</v>
      </c>
      <c r="I56" s="19">
        <v>0</v>
      </c>
      <c r="J56" s="19">
        <v>0</v>
      </c>
      <c r="K56" s="19">
        <f t="shared" si="4"/>
        <v>0</v>
      </c>
      <c r="L56" s="19">
        <f t="shared" si="2"/>
        <v>11300</v>
      </c>
      <c r="M56" s="24"/>
    </row>
    <row r="57" spans="1:13" s="1" customFormat="1" ht="25" customHeight="1">
      <c r="A57" s="8">
        <v>54</v>
      </c>
      <c r="B57" s="21" t="s">
        <v>72</v>
      </c>
      <c r="C57" s="19">
        <f>4000+2000+800+1400+2400+4000+2000+400</f>
        <v>17000</v>
      </c>
      <c r="D57" s="19">
        <f>2700+1500</f>
        <v>4200</v>
      </c>
      <c r="E57" s="19">
        <v>0</v>
      </c>
      <c r="F57" s="19">
        <v>0</v>
      </c>
      <c r="G57" s="19">
        <f t="shared" si="3"/>
        <v>21200</v>
      </c>
      <c r="H57" s="19">
        <v>0</v>
      </c>
      <c r="I57" s="19">
        <v>0</v>
      </c>
      <c r="J57" s="19">
        <v>0</v>
      </c>
      <c r="K57" s="19">
        <f t="shared" si="4"/>
        <v>0</v>
      </c>
      <c r="L57" s="19">
        <f t="shared" si="2"/>
        <v>21200</v>
      </c>
      <c r="M57" s="24"/>
    </row>
    <row r="58" spans="1:13" s="1" customFormat="1" ht="25" customHeight="1">
      <c r="A58" s="8">
        <v>55</v>
      </c>
      <c r="B58" s="9" t="s">
        <v>73</v>
      </c>
      <c r="C58" s="19">
        <f>800+8400+600+3300+2800</f>
        <v>15900</v>
      </c>
      <c r="D58" s="19">
        <f>1400+3500</f>
        <v>4900</v>
      </c>
      <c r="E58" s="19">
        <v>0</v>
      </c>
      <c r="F58" s="19">
        <v>0</v>
      </c>
      <c r="G58" s="19">
        <f t="shared" si="3"/>
        <v>20800</v>
      </c>
      <c r="H58" s="19">
        <v>3900</v>
      </c>
      <c r="I58" s="19">
        <v>0</v>
      </c>
      <c r="J58" s="19">
        <v>0</v>
      </c>
      <c r="K58" s="19">
        <f t="shared" si="4"/>
        <v>3900</v>
      </c>
      <c r="L58" s="19">
        <f t="shared" si="2"/>
        <v>16900</v>
      </c>
      <c r="M58" s="24" t="s">
        <v>18</v>
      </c>
    </row>
    <row r="59" spans="1:13" s="1" customFormat="1" ht="25" customHeight="1">
      <c r="A59" s="8">
        <v>56</v>
      </c>
      <c r="B59" s="9" t="s">
        <v>74</v>
      </c>
      <c r="C59" s="19">
        <f>2800+2200+800+800+15300</f>
        <v>21900</v>
      </c>
      <c r="D59" s="19">
        <f>5250+10000</f>
        <v>15250</v>
      </c>
      <c r="E59" s="19">
        <v>0</v>
      </c>
      <c r="F59" s="19">
        <v>0</v>
      </c>
      <c r="G59" s="19">
        <f t="shared" si="3"/>
        <v>37150</v>
      </c>
      <c r="H59" s="19">
        <v>5100</v>
      </c>
      <c r="I59" s="19">
        <f>20*150</f>
        <v>3000</v>
      </c>
      <c r="J59" s="19">
        <v>0</v>
      </c>
      <c r="K59" s="19">
        <f t="shared" si="4"/>
        <v>8100</v>
      </c>
      <c r="L59" s="19">
        <f t="shared" si="2"/>
        <v>29050</v>
      </c>
      <c r="M59" s="24" t="s">
        <v>23</v>
      </c>
    </row>
    <row r="60" spans="1:13" s="1" customFormat="1" ht="25" customHeight="1">
      <c r="A60" s="8">
        <v>57</v>
      </c>
      <c r="B60" s="21" t="s">
        <v>75</v>
      </c>
      <c r="C60" s="19">
        <f>2100</f>
        <v>2100</v>
      </c>
      <c r="D60" s="19">
        <f>3850</f>
        <v>3850</v>
      </c>
      <c r="E60" s="19">
        <v>0</v>
      </c>
      <c r="F60" s="19">
        <v>0</v>
      </c>
      <c r="G60" s="19">
        <f t="shared" si="3"/>
        <v>5950</v>
      </c>
      <c r="H60" s="19">
        <v>700</v>
      </c>
      <c r="I60" s="19">
        <v>0</v>
      </c>
      <c r="J60" s="19">
        <v>0</v>
      </c>
      <c r="K60" s="19">
        <f t="shared" si="4"/>
        <v>700</v>
      </c>
      <c r="L60" s="19">
        <f t="shared" si="2"/>
        <v>5250</v>
      </c>
      <c r="M60" s="24"/>
    </row>
    <row r="61" spans="1:13" s="1" customFormat="1" ht="25" customHeight="1">
      <c r="A61" s="8">
        <v>58</v>
      </c>
      <c r="B61" s="9" t="s">
        <v>76</v>
      </c>
      <c r="C61" s="19">
        <f>7800+12300</f>
        <v>20100</v>
      </c>
      <c r="D61" s="19">
        <f>8750+8750+4900+11400+3500</f>
        <v>37300</v>
      </c>
      <c r="E61" s="19">
        <v>0</v>
      </c>
      <c r="F61" s="19">
        <v>0</v>
      </c>
      <c r="G61" s="19">
        <f t="shared" si="3"/>
        <v>57400</v>
      </c>
      <c r="H61" s="19">
        <f>2600+4100</f>
        <v>6700</v>
      </c>
      <c r="I61" s="19">
        <v>0</v>
      </c>
      <c r="J61" s="19">
        <v>0</v>
      </c>
      <c r="K61" s="19">
        <f t="shared" si="4"/>
        <v>6700</v>
      </c>
      <c r="L61" s="19">
        <f t="shared" si="2"/>
        <v>50700</v>
      </c>
      <c r="M61" s="24"/>
    </row>
    <row r="62" spans="1:13" s="1" customFormat="1" ht="25" customHeight="1">
      <c r="A62" s="8">
        <v>59</v>
      </c>
      <c r="B62" s="9" t="s">
        <v>77</v>
      </c>
      <c r="C62" s="19">
        <v>0</v>
      </c>
      <c r="D62" s="19">
        <f>7000</f>
        <v>7000</v>
      </c>
      <c r="E62" s="19">
        <v>0</v>
      </c>
      <c r="F62" s="19">
        <v>0</v>
      </c>
      <c r="G62" s="19">
        <f t="shared" si="3"/>
        <v>7000</v>
      </c>
      <c r="H62" s="19">
        <v>0</v>
      </c>
      <c r="I62" s="19">
        <v>0</v>
      </c>
      <c r="J62" s="19">
        <v>0</v>
      </c>
      <c r="K62" s="19">
        <f t="shared" si="4"/>
        <v>0</v>
      </c>
      <c r="L62" s="19">
        <f t="shared" si="2"/>
        <v>7000</v>
      </c>
      <c r="M62" s="24"/>
    </row>
    <row r="63" spans="1:13" s="1" customFormat="1" ht="25" customHeight="1">
      <c r="A63" s="8">
        <v>60</v>
      </c>
      <c r="B63" s="21" t="s">
        <v>78</v>
      </c>
      <c r="C63" s="19">
        <f>11100+9300</f>
        <v>20400</v>
      </c>
      <c r="D63" s="19">
        <f>3500+3500+7500</f>
        <v>14500</v>
      </c>
      <c r="E63" s="19">
        <v>0</v>
      </c>
      <c r="F63" s="19">
        <v>0</v>
      </c>
      <c r="G63" s="19">
        <f t="shared" si="3"/>
        <v>34900</v>
      </c>
      <c r="H63" s="19">
        <f>3100+3700</f>
        <v>6800</v>
      </c>
      <c r="I63" s="19">
        <f>15*150</f>
        <v>2250</v>
      </c>
      <c r="J63" s="19">
        <v>0</v>
      </c>
      <c r="K63" s="19">
        <f t="shared" si="4"/>
        <v>9050</v>
      </c>
      <c r="L63" s="19">
        <f t="shared" si="2"/>
        <v>25850</v>
      </c>
      <c r="M63" s="24" t="s">
        <v>23</v>
      </c>
    </row>
    <row r="64" spans="1:13" s="1" customFormat="1" ht="25" customHeight="1">
      <c r="A64" s="8">
        <v>61</v>
      </c>
      <c r="B64" s="21" t="s">
        <v>79</v>
      </c>
      <c r="C64" s="19">
        <f>200+200+200+600+200+200+200+1600+1600</f>
        <v>5000</v>
      </c>
      <c r="D64" s="19">
        <f>2100+2800+1400+700+350+700+700+350+1050+350</f>
        <v>10500</v>
      </c>
      <c r="E64" s="19">
        <v>0</v>
      </c>
      <c r="F64" s="19">
        <v>0</v>
      </c>
      <c r="G64" s="19">
        <f t="shared" si="3"/>
        <v>15500</v>
      </c>
      <c r="H64" s="19">
        <v>0</v>
      </c>
      <c r="I64" s="19">
        <v>0</v>
      </c>
      <c r="J64" s="19">
        <v>0</v>
      </c>
      <c r="K64" s="19">
        <f t="shared" si="4"/>
        <v>0</v>
      </c>
      <c r="L64" s="19">
        <f t="shared" si="2"/>
        <v>15500</v>
      </c>
      <c r="M64" s="24"/>
    </row>
    <row r="65" spans="1:13" s="1" customFormat="1" ht="25" customHeight="1">
      <c r="A65" s="8">
        <v>62</v>
      </c>
      <c r="B65" s="9" t="s">
        <v>80</v>
      </c>
      <c r="C65" s="19">
        <v>0</v>
      </c>
      <c r="D65" s="19">
        <f>5250+5250+7000+3850</f>
        <v>21350</v>
      </c>
      <c r="E65" s="19">
        <v>0</v>
      </c>
      <c r="F65" s="19">
        <v>0</v>
      </c>
      <c r="G65" s="19">
        <f t="shared" si="3"/>
        <v>21350</v>
      </c>
      <c r="H65" s="19">
        <v>0</v>
      </c>
      <c r="I65" s="19">
        <v>0</v>
      </c>
      <c r="J65" s="19">
        <v>0</v>
      </c>
      <c r="K65" s="19">
        <f t="shared" si="4"/>
        <v>0</v>
      </c>
      <c r="L65" s="19">
        <f t="shared" si="2"/>
        <v>21350</v>
      </c>
      <c r="M65" s="24"/>
    </row>
    <row r="66" spans="1:13" s="1" customFormat="1" ht="25" customHeight="1">
      <c r="A66" s="8">
        <v>63</v>
      </c>
      <c r="B66" s="9" t="s">
        <v>81</v>
      </c>
      <c r="C66" s="19">
        <f>3060+272+4700+3196+188+9964+3948</f>
        <v>25328</v>
      </c>
      <c r="D66" s="19">
        <v>0</v>
      </c>
      <c r="E66" s="19">
        <v>0</v>
      </c>
      <c r="F66" s="19">
        <v>0</v>
      </c>
      <c r="G66" s="19">
        <f t="shared" si="3"/>
        <v>25328</v>
      </c>
      <c r="H66" s="19">
        <v>0</v>
      </c>
      <c r="I66" s="19">
        <v>0</v>
      </c>
      <c r="J66" s="19">
        <v>0</v>
      </c>
      <c r="K66" s="19">
        <f t="shared" si="4"/>
        <v>0</v>
      </c>
      <c r="L66" s="19">
        <f t="shared" si="2"/>
        <v>25328</v>
      </c>
      <c r="M66" s="24"/>
    </row>
    <row r="67" spans="1:13" s="1" customFormat="1" ht="25" customHeight="1">
      <c r="A67" s="8">
        <v>64</v>
      </c>
      <c r="B67" s="21" t="s">
        <v>82</v>
      </c>
      <c r="C67" s="19">
        <f>5700+1800+4500</f>
        <v>12000</v>
      </c>
      <c r="D67" s="19">
        <f>5000+3500+3500+6300+7000</f>
        <v>25300</v>
      </c>
      <c r="E67" s="19">
        <v>0</v>
      </c>
      <c r="F67" s="19">
        <v>0</v>
      </c>
      <c r="G67" s="19">
        <f t="shared" si="3"/>
        <v>37300</v>
      </c>
      <c r="H67" s="19">
        <v>4000</v>
      </c>
      <c r="I67" s="19">
        <f>10*150</f>
        <v>1500</v>
      </c>
      <c r="J67" s="19">
        <v>0</v>
      </c>
      <c r="K67" s="19">
        <f t="shared" si="4"/>
        <v>5500</v>
      </c>
      <c r="L67" s="19">
        <f t="shared" si="2"/>
        <v>31800</v>
      </c>
      <c r="M67" s="24" t="s">
        <v>23</v>
      </c>
    </row>
    <row r="68" spans="1:13" s="1" customFormat="1" ht="25" customHeight="1">
      <c r="A68" s="8">
        <v>65</v>
      </c>
      <c r="B68" s="9" t="s">
        <v>83</v>
      </c>
      <c r="C68" s="19">
        <f>10200+8700+9000</f>
        <v>27900</v>
      </c>
      <c r="D68" s="19">
        <f>5250+5250+5000+3000+3000+6000</f>
        <v>27500</v>
      </c>
      <c r="E68" s="19">
        <v>0</v>
      </c>
      <c r="F68" s="19">
        <v>0</v>
      </c>
      <c r="G68" s="19">
        <f t="shared" si="3"/>
        <v>55400</v>
      </c>
      <c r="H68" s="19">
        <f>3400+3000+2900</f>
        <v>9300</v>
      </c>
      <c r="I68" s="19">
        <f>10*150</f>
        <v>1500</v>
      </c>
      <c r="J68" s="19">
        <v>0</v>
      </c>
      <c r="K68" s="19">
        <f t="shared" si="4"/>
        <v>10800</v>
      </c>
      <c r="L68" s="19">
        <f aca="true" t="shared" si="5" ref="L68:L131">G68-K68</f>
        <v>44600</v>
      </c>
      <c r="M68" s="24" t="s">
        <v>23</v>
      </c>
    </row>
    <row r="69" spans="1:13" s="1" customFormat="1" ht="25" customHeight="1">
      <c r="A69" s="8">
        <v>66</v>
      </c>
      <c r="B69" s="9" t="s">
        <v>84</v>
      </c>
      <c r="C69" s="19">
        <v>8400</v>
      </c>
      <c r="D69" s="19">
        <v>0</v>
      </c>
      <c r="E69" s="19">
        <v>0</v>
      </c>
      <c r="F69" s="19">
        <v>0</v>
      </c>
      <c r="G69" s="19">
        <f aca="true" t="shared" si="6" ref="G69:G101">C69+D69+E69+F69</f>
        <v>8400</v>
      </c>
      <c r="H69" s="19">
        <v>2800</v>
      </c>
      <c r="I69" s="19">
        <v>0</v>
      </c>
      <c r="J69" s="19">
        <v>0</v>
      </c>
      <c r="K69" s="19">
        <f aca="true" t="shared" si="7" ref="K69:K101">H69+I69+J69</f>
        <v>2800</v>
      </c>
      <c r="L69" s="19">
        <f t="shared" si="5"/>
        <v>5600</v>
      </c>
      <c r="M69" s="24" t="s">
        <v>18</v>
      </c>
    </row>
    <row r="70" spans="1:13" s="1" customFormat="1" ht="25" customHeight="1">
      <c r="A70" s="8">
        <v>67</v>
      </c>
      <c r="B70" s="9" t="s">
        <v>85</v>
      </c>
      <c r="C70" s="19">
        <f>2400+2100</f>
        <v>4500</v>
      </c>
      <c r="D70" s="19">
        <f>5250+5250</f>
        <v>10500</v>
      </c>
      <c r="E70" s="19">
        <v>0</v>
      </c>
      <c r="F70" s="19">
        <v>0</v>
      </c>
      <c r="G70" s="19">
        <f t="shared" si="6"/>
        <v>15000</v>
      </c>
      <c r="H70" s="19">
        <v>700</v>
      </c>
      <c r="I70" s="19">
        <v>0</v>
      </c>
      <c r="J70" s="19">
        <v>0</v>
      </c>
      <c r="K70" s="19">
        <f t="shared" si="7"/>
        <v>700</v>
      </c>
      <c r="L70" s="19">
        <f t="shared" si="5"/>
        <v>14300</v>
      </c>
      <c r="M70" s="24" t="s">
        <v>18</v>
      </c>
    </row>
    <row r="71" spans="1:13" s="1" customFormat="1" ht="25" customHeight="1">
      <c r="A71" s="8">
        <v>68</v>
      </c>
      <c r="B71" s="9" t="s">
        <v>86</v>
      </c>
      <c r="C71" s="19">
        <v>9000</v>
      </c>
      <c r="D71" s="19">
        <v>0</v>
      </c>
      <c r="E71" s="19">
        <v>0</v>
      </c>
      <c r="F71" s="19">
        <v>0</v>
      </c>
      <c r="G71" s="19">
        <f t="shared" si="6"/>
        <v>9000</v>
      </c>
      <c r="H71" s="19">
        <v>3000</v>
      </c>
      <c r="I71" s="19">
        <v>0</v>
      </c>
      <c r="J71" s="19">
        <v>0</v>
      </c>
      <c r="K71" s="19">
        <f t="shared" si="7"/>
        <v>3000</v>
      </c>
      <c r="L71" s="19">
        <f t="shared" si="5"/>
        <v>6000</v>
      </c>
      <c r="M71" s="24" t="s">
        <v>18</v>
      </c>
    </row>
    <row r="72" spans="1:13" s="1" customFormat="1" ht="25" customHeight="1">
      <c r="A72" s="8">
        <v>69</v>
      </c>
      <c r="B72" s="9" t="s">
        <v>87</v>
      </c>
      <c r="C72" s="19">
        <v>0</v>
      </c>
      <c r="D72" s="19">
        <f>10000+500</f>
        <v>10500</v>
      </c>
      <c r="E72" s="19">
        <v>0</v>
      </c>
      <c r="F72" s="19">
        <v>0</v>
      </c>
      <c r="G72" s="19">
        <f t="shared" si="6"/>
        <v>10500</v>
      </c>
      <c r="H72" s="19">
        <v>0</v>
      </c>
      <c r="I72" s="19">
        <f>1*150+20*150</f>
        <v>3150</v>
      </c>
      <c r="J72" s="19">
        <v>0</v>
      </c>
      <c r="K72" s="19">
        <f t="shared" si="7"/>
        <v>3150</v>
      </c>
      <c r="L72" s="19">
        <f t="shared" si="5"/>
        <v>7350</v>
      </c>
      <c r="M72" s="24" t="s">
        <v>34</v>
      </c>
    </row>
    <row r="73" spans="1:13" s="1" customFormat="1" ht="25" customHeight="1">
      <c r="A73" s="8">
        <v>70</v>
      </c>
      <c r="B73" s="22" t="s">
        <v>88</v>
      </c>
      <c r="C73" s="4">
        <f>5400+11100+3300+2000</f>
        <v>21800</v>
      </c>
      <c r="D73" s="4">
        <f>5000+6000+7350+7500+7500</f>
        <v>33350</v>
      </c>
      <c r="E73" s="4">
        <v>0</v>
      </c>
      <c r="F73" s="4">
        <v>0</v>
      </c>
      <c r="G73" s="19">
        <f t="shared" si="6"/>
        <v>55150</v>
      </c>
      <c r="H73" s="4">
        <v>6600</v>
      </c>
      <c r="I73" s="4">
        <f>15*150+15*150</f>
        <v>4500</v>
      </c>
      <c r="J73" s="19">
        <v>0</v>
      </c>
      <c r="K73" s="19">
        <f t="shared" si="7"/>
        <v>11100</v>
      </c>
      <c r="L73" s="19">
        <f t="shared" si="5"/>
        <v>44050</v>
      </c>
      <c r="M73" s="24" t="s">
        <v>23</v>
      </c>
    </row>
    <row r="74" spans="1:13" s="1" customFormat="1" ht="25" customHeight="1">
      <c r="A74" s="8">
        <v>71</v>
      </c>
      <c r="B74" s="9" t="s">
        <v>89</v>
      </c>
      <c r="C74" s="19">
        <v>0</v>
      </c>
      <c r="D74" s="19">
        <v>4900</v>
      </c>
      <c r="E74" s="19">
        <v>0</v>
      </c>
      <c r="F74" s="19">
        <v>0</v>
      </c>
      <c r="G74" s="19">
        <f t="shared" si="6"/>
        <v>4900</v>
      </c>
      <c r="H74" s="19">
        <v>0</v>
      </c>
      <c r="I74" s="19">
        <v>0</v>
      </c>
      <c r="J74" s="19">
        <v>0</v>
      </c>
      <c r="K74" s="19">
        <f t="shared" si="7"/>
        <v>0</v>
      </c>
      <c r="L74" s="19">
        <f t="shared" si="5"/>
        <v>4900</v>
      </c>
      <c r="M74" s="24"/>
    </row>
    <row r="75" spans="1:13" s="1" customFormat="1" ht="25" customHeight="1">
      <c r="A75" s="8">
        <v>72</v>
      </c>
      <c r="B75" s="9" t="s">
        <v>90</v>
      </c>
      <c r="C75" s="19">
        <v>200</v>
      </c>
      <c r="D75" s="19">
        <v>0</v>
      </c>
      <c r="E75" s="19">
        <v>0</v>
      </c>
      <c r="F75" s="19">
        <v>0</v>
      </c>
      <c r="G75" s="19">
        <f t="shared" si="6"/>
        <v>200</v>
      </c>
      <c r="H75" s="19">
        <v>0</v>
      </c>
      <c r="I75" s="19">
        <v>0</v>
      </c>
      <c r="J75" s="19">
        <v>0</v>
      </c>
      <c r="K75" s="19">
        <f t="shared" si="7"/>
        <v>0</v>
      </c>
      <c r="L75" s="19">
        <f t="shared" si="5"/>
        <v>200</v>
      </c>
      <c r="M75" s="24"/>
    </row>
    <row r="76" spans="1:13" s="1" customFormat="1" ht="25" customHeight="1">
      <c r="A76" s="8">
        <v>73</v>
      </c>
      <c r="B76" s="9" t="s">
        <v>91</v>
      </c>
      <c r="C76" s="19">
        <f>3300+1800</f>
        <v>5100</v>
      </c>
      <c r="D76" s="19">
        <f>8050</f>
        <v>8050</v>
      </c>
      <c r="E76" s="19">
        <v>0</v>
      </c>
      <c r="F76" s="19">
        <v>0</v>
      </c>
      <c r="G76" s="19">
        <f t="shared" si="6"/>
        <v>13150</v>
      </c>
      <c r="H76" s="19">
        <v>1700</v>
      </c>
      <c r="I76" s="19">
        <v>0</v>
      </c>
      <c r="J76" s="19">
        <v>0</v>
      </c>
      <c r="K76" s="19">
        <f t="shared" si="7"/>
        <v>1700</v>
      </c>
      <c r="L76" s="19">
        <f t="shared" si="5"/>
        <v>11450</v>
      </c>
      <c r="M76" s="24" t="s">
        <v>18</v>
      </c>
    </row>
    <row r="77" spans="1:13" s="1" customFormat="1" ht="25" customHeight="1">
      <c r="A77" s="8">
        <v>74</v>
      </c>
      <c r="B77" s="9" t="s">
        <v>92</v>
      </c>
      <c r="C77" s="19">
        <f>4200+1000+1200+10200</f>
        <v>16600</v>
      </c>
      <c r="D77" s="19">
        <f>7000+3500+7000</f>
        <v>17500</v>
      </c>
      <c r="E77" s="19">
        <v>0</v>
      </c>
      <c r="F77" s="19">
        <v>0</v>
      </c>
      <c r="G77" s="19">
        <f t="shared" si="6"/>
        <v>34100</v>
      </c>
      <c r="H77" s="19">
        <v>4800</v>
      </c>
      <c r="I77" s="19">
        <v>0</v>
      </c>
      <c r="J77" s="19">
        <v>0</v>
      </c>
      <c r="K77" s="19">
        <f t="shared" si="7"/>
        <v>4800</v>
      </c>
      <c r="L77" s="19">
        <f t="shared" si="5"/>
        <v>29300</v>
      </c>
      <c r="M77" s="24" t="s">
        <v>18</v>
      </c>
    </row>
    <row r="78" spans="1:13" s="1" customFormat="1" ht="25" customHeight="1">
      <c r="A78" s="8">
        <v>75</v>
      </c>
      <c r="B78" s="9" t="s">
        <v>93</v>
      </c>
      <c r="C78" s="19">
        <f>1500+2400</f>
        <v>3900</v>
      </c>
      <c r="D78" s="19">
        <v>7000</v>
      </c>
      <c r="E78" s="19">
        <v>0</v>
      </c>
      <c r="F78" s="19">
        <v>0</v>
      </c>
      <c r="G78" s="19">
        <f t="shared" si="6"/>
        <v>10900</v>
      </c>
      <c r="H78" s="19">
        <v>500</v>
      </c>
      <c r="I78" s="19">
        <v>0</v>
      </c>
      <c r="J78" s="19">
        <v>0</v>
      </c>
      <c r="K78" s="19">
        <f t="shared" si="7"/>
        <v>500</v>
      </c>
      <c r="L78" s="19">
        <f t="shared" si="5"/>
        <v>10400</v>
      </c>
      <c r="M78" s="24" t="s">
        <v>18</v>
      </c>
    </row>
    <row r="79" spans="1:13" s="1" customFormat="1" ht="25" customHeight="1">
      <c r="A79" s="8">
        <v>76</v>
      </c>
      <c r="B79" s="9" t="s">
        <v>94</v>
      </c>
      <c r="C79" s="19">
        <f>19200+22200+24900</f>
        <v>66300</v>
      </c>
      <c r="D79" s="19">
        <f>7000+3500</f>
        <v>10500</v>
      </c>
      <c r="E79" s="19">
        <v>0</v>
      </c>
      <c r="F79" s="19">
        <v>0</v>
      </c>
      <c r="G79" s="19">
        <f t="shared" si="6"/>
        <v>76800</v>
      </c>
      <c r="H79" s="19">
        <v>22100</v>
      </c>
      <c r="I79" s="19">
        <v>0</v>
      </c>
      <c r="J79" s="19">
        <v>0</v>
      </c>
      <c r="K79" s="19">
        <f t="shared" si="7"/>
        <v>22100</v>
      </c>
      <c r="L79" s="19">
        <f t="shared" si="5"/>
        <v>54700</v>
      </c>
      <c r="M79" s="24" t="s">
        <v>18</v>
      </c>
    </row>
    <row r="80" spans="1:13" s="1" customFormat="1" ht="25" customHeight="1">
      <c r="A80" s="8">
        <v>77</v>
      </c>
      <c r="B80" s="9" t="s">
        <v>95</v>
      </c>
      <c r="C80" s="19">
        <f>4200+3000+13500</f>
        <v>20700</v>
      </c>
      <c r="D80" s="19">
        <f>7500+7500+10000+9000</f>
        <v>34000</v>
      </c>
      <c r="E80" s="19">
        <v>0</v>
      </c>
      <c r="F80" s="19">
        <v>0</v>
      </c>
      <c r="G80" s="19">
        <f t="shared" si="6"/>
        <v>54700</v>
      </c>
      <c r="H80" s="19">
        <v>4500</v>
      </c>
      <c r="I80" s="19">
        <f>15*150+15*150+20*150</f>
        <v>7500</v>
      </c>
      <c r="J80" s="19">
        <v>0</v>
      </c>
      <c r="K80" s="19">
        <f t="shared" si="7"/>
        <v>12000</v>
      </c>
      <c r="L80" s="19">
        <f t="shared" si="5"/>
        <v>42700</v>
      </c>
      <c r="M80" s="24" t="s">
        <v>23</v>
      </c>
    </row>
    <row r="81" spans="1:13" s="1" customFormat="1" ht="25" customHeight="1">
      <c r="A81" s="8">
        <v>78</v>
      </c>
      <c r="B81" s="9" t="s">
        <v>96</v>
      </c>
      <c r="C81" s="19">
        <f>9000+3900</f>
        <v>12900</v>
      </c>
      <c r="D81" s="19">
        <f>2400+3500+10500</f>
        <v>16400</v>
      </c>
      <c r="E81" s="19">
        <v>0</v>
      </c>
      <c r="F81" s="19">
        <v>0</v>
      </c>
      <c r="G81" s="19">
        <f t="shared" si="6"/>
        <v>29300</v>
      </c>
      <c r="H81" s="19">
        <v>4300</v>
      </c>
      <c r="I81" s="19">
        <v>0</v>
      </c>
      <c r="J81" s="19">
        <v>0</v>
      </c>
      <c r="K81" s="19">
        <f t="shared" si="7"/>
        <v>4300</v>
      </c>
      <c r="L81" s="19">
        <f t="shared" si="5"/>
        <v>25000</v>
      </c>
      <c r="M81" s="24" t="s">
        <v>18</v>
      </c>
    </row>
    <row r="82" spans="1:13" s="1" customFormat="1" ht="25" customHeight="1">
      <c r="A82" s="8">
        <v>79</v>
      </c>
      <c r="B82" s="9" t="s">
        <v>97</v>
      </c>
      <c r="C82" s="19">
        <f>3600+3300</f>
        <v>6900</v>
      </c>
      <c r="D82" s="19">
        <f>7000</f>
        <v>7000</v>
      </c>
      <c r="E82" s="19">
        <v>0</v>
      </c>
      <c r="F82" s="19">
        <v>0</v>
      </c>
      <c r="G82" s="19">
        <f t="shared" si="6"/>
        <v>13900</v>
      </c>
      <c r="H82" s="19">
        <v>2300</v>
      </c>
      <c r="I82" s="19">
        <v>0</v>
      </c>
      <c r="J82" s="19">
        <v>0</v>
      </c>
      <c r="K82" s="19">
        <f t="shared" si="7"/>
        <v>2300</v>
      </c>
      <c r="L82" s="19">
        <f t="shared" si="5"/>
        <v>11600</v>
      </c>
      <c r="M82" s="24" t="s">
        <v>18</v>
      </c>
    </row>
    <row r="83" spans="1:13" s="1" customFormat="1" ht="25" customHeight="1">
      <c r="A83" s="8">
        <v>80</v>
      </c>
      <c r="B83" s="9" t="s">
        <v>98</v>
      </c>
      <c r="C83" s="19">
        <f>3600</f>
        <v>3600</v>
      </c>
      <c r="D83" s="19">
        <v>0</v>
      </c>
      <c r="E83" s="19">
        <v>0</v>
      </c>
      <c r="F83" s="19">
        <v>0</v>
      </c>
      <c r="G83" s="19">
        <f t="shared" si="6"/>
        <v>3600</v>
      </c>
      <c r="H83" s="19">
        <v>1200</v>
      </c>
      <c r="I83" s="19">
        <v>0</v>
      </c>
      <c r="J83" s="19">
        <v>0</v>
      </c>
      <c r="K83" s="19">
        <f t="shared" si="7"/>
        <v>1200</v>
      </c>
      <c r="L83" s="19">
        <f t="shared" si="5"/>
        <v>2400</v>
      </c>
      <c r="M83" s="24" t="s">
        <v>18</v>
      </c>
    </row>
    <row r="84" spans="1:13" s="1" customFormat="1" ht="25" customHeight="1">
      <c r="A84" s="8">
        <v>81</v>
      </c>
      <c r="B84" s="9" t="s">
        <v>99</v>
      </c>
      <c r="C84" s="19">
        <v>13500</v>
      </c>
      <c r="D84" s="19">
        <f>7500+7500</f>
        <v>15000</v>
      </c>
      <c r="E84" s="19">
        <v>0</v>
      </c>
      <c r="F84" s="19">
        <v>0</v>
      </c>
      <c r="G84" s="19">
        <f t="shared" si="6"/>
        <v>28500</v>
      </c>
      <c r="H84" s="19">
        <v>4500</v>
      </c>
      <c r="I84" s="19">
        <f>15*150+15*150</f>
        <v>4500</v>
      </c>
      <c r="J84" s="19">
        <v>0</v>
      </c>
      <c r="K84" s="19">
        <f t="shared" si="7"/>
        <v>9000</v>
      </c>
      <c r="L84" s="19">
        <f t="shared" si="5"/>
        <v>19500</v>
      </c>
      <c r="M84" s="24" t="s">
        <v>23</v>
      </c>
    </row>
    <row r="85" spans="1:13" s="1" customFormat="1" ht="25" customHeight="1">
      <c r="A85" s="8">
        <v>82</v>
      </c>
      <c r="B85" s="9" t="s">
        <v>100</v>
      </c>
      <c r="C85" s="19">
        <f>2700+300+2400</f>
        <v>5400</v>
      </c>
      <c r="D85" s="19">
        <f>7500+7500</f>
        <v>15000</v>
      </c>
      <c r="E85" s="19">
        <v>0</v>
      </c>
      <c r="F85" s="19">
        <v>0</v>
      </c>
      <c r="G85" s="19">
        <f t="shared" si="6"/>
        <v>20400</v>
      </c>
      <c r="H85" s="19">
        <v>1800</v>
      </c>
      <c r="I85" s="19">
        <f>15*150+15*150</f>
        <v>4500</v>
      </c>
      <c r="J85" s="19">
        <v>0</v>
      </c>
      <c r="K85" s="19">
        <f t="shared" si="7"/>
        <v>6300</v>
      </c>
      <c r="L85" s="19">
        <f t="shared" si="5"/>
        <v>14100</v>
      </c>
      <c r="M85" s="24" t="s">
        <v>23</v>
      </c>
    </row>
    <row r="86" spans="1:13" s="1" customFormat="1" ht="25" customHeight="1">
      <c r="A86" s="8">
        <v>83</v>
      </c>
      <c r="B86" s="9" t="s">
        <v>101</v>
      </c>
      <c r="C86" s="19">
        <f>5400+9300+1000+1000+800+2200</f>
        <v>19700</v>
      </c>
      <c r="D86" s="19">
        <f>1500+3500+10500+6000+6000</f>
        <v>27500</v>
      </c>
      <c r="E86" s="19">
        <v>0</v>
      </c>
      <c r="F86" s="19">
        <v>0</v>
      </c>
      <c r="G86" s="19">
        <f t="shared" si="6"/>
        <v>47200</v>
      </c>
      <c r="H86" s="19">
        <f>1800+3100</f>
        <v>4900</v>
      </c>
      <c r="I86" s="19">
        <v>0</v>
      </c>
      <c r="J86" s="19">
        <v>0</v>
      </c>
      <c r="K86" s="19">
        <f t="shared" si="7"/>
        <v>4900</v>
      </c>
      <c r="L86" s="19">
        <f t="shared" si="5"/>
        <v>42300</v>
      </c>
      <c r="M86" s="24" t="s">
        <v>18</v>
      </c>
    </row>
    <row r="87" spans="1:13" s="1" customFormat="1" ht="25" customHeight="1">
      <c r="A87" s="8">
        <v>84</v>
      </c>
      <c r="B87" s="9" t="s">
        <v>102</v>
      </c>
      <c r="C87" s="19">
        <v>2400</v>
      </c>
      <c r="D87" s="19">
        <f>7000</f>
        <v>7000</v>
      </c>
      <c r="E87" s="19">
        <v>0</v>
      </c>
      <c r="F87" s="19">
        <v>0</v>
      </c>
      <c r="G87" s="19">
        <f t="shared" si="6"/>
        <v>9400</v>
      </c>
      <c r="H87" s="19">
        <v>0</v>
      </c>
      <c r="I87" s="19">
        <v>0</v>
      </c>
      <c r="J87" s="19">
        <v>0</v>
      </c>
      <c r="K87" s="19">
        <f t="shared" si="7"/>
        <v>0</v>
      </c>
      <c r="L87" s="19">
        <f t="shared" si="5"/>
        <v>9400</v>
      </c>
      <c r="M87" s="24"/>
    </row>
    <row r="88" spans="1:13" s="1" customFormat="1" ht="25" customHeight="1">
      <c r="A88" s="8">
        <v>85</v>
      </c>
      <c r="B88" s="21" t="s">
        <v>103</v>
      </c>
      <c r="C88" s="19">
        <f>2400+1600+1200+1200+1200+9000+6400</f>
        <v>23000</v>
      </c>
      <c r="D88" s="19">
        <f>5250+5250</f>
        <v>10500</v>
      </c>
      <c r="E88" s="19">
        <v>0</v>
      </c>
      <c r="F88" s="19">
        <v>0</v>
      </c>
      <c r="G88" s="19">
        <f t="shared" si="6"/>
        <v>33500</v>
      </c>
      <c r="H88" s="19">
        <v>3000</v>
      </c>
      <c r="I88" s="19">
        <v>0</v>
      </c>
      <c r="J88" s="19">
        <v>0</v>
      </c>
      <c r="K88" s="19">
        <f t="shared" si="7"/>
        <v>3000</v>
      </c>
      <c r="L88" s="19">
        <f t="shared" si="5"/>
        <v>30500</v>
      </c>
      <c r="M88" s="24" t="s">
        <v>18</v>
      </c>
    </row>
    <row r="89" spans="1:13" s="1" customFormat="1" ht="25" customHeight="1">
      <c r="A89" s="8">
        <v>86</v>
      </c>
      <c r="B89" s="9" t="s">
        <v>104</v>
      </c>
      <c r="C89" s="19">
        <f>2700+1200</f>
        <v>3900</v>
      </c>
      <c r="D89" s="19">
        <f>3500+5250+5250</f>
        <v>14000</v>
      </c>
      <c r="E89" s="19">
        <v>0</v>
      </c>
      <c r="F89" s="19">
        <v>0</v>
      </c>
      <c r="G89" s="19">
        <f t="shared" si="6"/>
        <v>17900</v>
      </c>
      <c r="H89" s="19">
        <f>400+900</f>
        <v>1300</v>
      </c>
      <c r="I89" s="19">
        <v>0</v>
      </c>
      <c r="J89" s="19">
        <v>0</v>
      </c>
      <c r="K89" s="19">
        <f t="shared" si="7"/>
        <v>1300</v>
      </c>
      <c r="L89" s="19">
        <f t="shared" si="5"/>
        <v>16600</v>
      </c>
      <c r="M89" s="24" t="s">
        <v>18</v>
      </c>
    </row>
    <row r="90" spans="1:13" s="1" customFormat="1" ht="25" customHeight="1">
      <c r="A90" s="8">
        <v>87</v>
      </c>
      <c r="B90" s="9" t="s">
        <v>105</v>
      </c>
      <c r="C90" s="19">
        <f>2820+3196+1504+2068+2820+2256</f>
        <v>14664</v>
      </c>
      <c r="D90" s="19">
        <v>0</v>
      </c>
      <c r="E90" s="19">
        <f>2560</f>
        <v>2560</v>
      </c>
      <c r="F90" s="19">
        <v>0</v>
      </c>
      <c r="G90" s="19">
        <f t="shared" si="6"/>
        <v>17224</v>
      </c>
      <c r="H90" s="19">
        <v>0</v>
      </c>
      <c r="I90" s="19">
        <v>0</v>
      </c>
      <c r="J90" s="19">
        <v>0</v>
      </c>
      <c r="K90" s="19">
        <f t="shared" si="7"/>
        <v>0</v>
      </c>
      <c r="L90" s="19">
        <f t="shared" si="5"/>
        <v>17224</v>
      </c>
      <c r="M90" s="24"/>
    </row>
    <row r="91" spans="1:13" s="1" customFormat="1" ht="25" customHeight="1">
      <c r="A91" s="8">
        <v>88</v>
      </c>
      <c r="B91" s="9" t="s">
        <v>106</v>
      </c>
      <c r="C91" s="19">
        <f>2000</f>
        <v>2000</v>
      </c>
      <c r="D91" s="19">
        <v>0</v>
      </c>
      <c r="E91" s="19">
        <v>0</v>
      </c>
      <c r="F91" s="19">
        <v>0</v>
      </c>
      <c r="G91" s="19">
        <f t="shared" si="6"/>
        <v>2000</v>
      </c>
      <c r="H91" s="19">
        <v>0</v>
      </c>
      <c r="I91" s="19">
        <v>0</v>
      </c>
      <c r="J91" s="19">
        <v>0</v>
      </c>
      <c r="K91" s="19">
        <f t="shared" si="7"/>
        <v>0</v>
      </c>
      <c r="L91" s="19">
        <f t="shared" si="5"/>
        <v>2000</v>
      </c>
      <c r="M91" s="24"/>
    </row>
    <row r="92" spans="1:13" s="1" customFormat="1" ht="25" customHeight="1">
      <c r="A92" s="8">
        <v>89</v>
      </c>
      <c r="B92" s="9" t="s">
        <v>107</v>
      </c>
      <c r="C92" s="19">
        <v>0</v>
      </c>
      <c r="D92" s="19">
        <f>6650+6300</f>
        <v>12950</v>
      </c>
      <c r="E92" s="19">
        <v>0</v>
      </c>
      <c r="F92" s="19">
        <v>0</v>
      </c>
      <c r="G92" s="19">
        <f t="shared" si="6"/>
        <v>12950</v>
      </c>
      <c r="H92" s="19">
        <v>0</v>
      </c>
      <c r="I92" s="19">
        <v>0</v>
      </c>
      <c r="J92" s="19">
        <v>0</v>
      </c>
      <c r="K92" s="19">
        <f t="shared" si="7"/>
        <v>0</v>
      </c>
      <c r="L92" s="19">
        <f t="shared" si="5"/>
        <v>12950</v>
      </c>
      <c r="M92" s="24"/>
    </row>
    <row r="93" spans="1:13" s="1" customFormat="1" ht="25" customHeight="1">
      <c r="A93" s="8">
        <v>90</v>
      </c>
      <c r="B93" s="9" t="s">
        <v>108</v>
      </c>
      <c r="C93" s="19">
        <v>0</v>
      </c>
      <c r="D93" s="19">
        <f>4900</f>
        <v>4900</v>
      </c>
      <c r="E93" s="19">
        <v>0</v>
      </c>
      <c r="F93" s="19">
        <v>0</v>
      </c>
      <c r="G93" s="19">
        <f t="shared" si="6"/>
        <v>4900</v>
      </c>
      <c r="H93" s="19">
        <v>0</v>
      </c>
      <c r="I93" s="19">
        <v>0</v>
      </c>
      <c r="J93" s="19">
        <v>0</v>
      </c>
      <c r="K93" s="19">
        <f t="shared" si="7"/>
        <v>0</v>
      </c>
      <c r="L93" s="19">
        <f t="shared" si="5"/>
        <v>4900</v>
      </c>
      <c r="M93" s="24"/>
    </row>
    <row r="94" spans="1:13" s="1" customFormat="1" ht="25" customHeight="1">
      <c r="A94" s="8">
        <v>91</v>
      </c>
      <c r="B94" s="9" t="s">
        <v>109</v>
      </c>
      <c r="C94" s="19">
        <f>3800+8400+800</f>
        <v>13000</v>
      </c>
      <c r="D94" s="19">
        <f>7500</f>
        <v>7500</v>
      </c>
      <c r="E94" s="19">
        <v>0</v>
      </c>
      <c r="F94" s="19">
        <v>0</v>
      </c>
      <c r="G94" s="19">
        <f t="shared" si="6"/>
        <v>20500</v>
      </c>
      <c r="H94" s="19">
        <v>2800</v>
      </c>
      <c r="I94" s="19">
        <f>15*150</f>
        <v>2250</v>
      </c>
      <c r="J94" s="19">
        <v>0</v>
      </c>
      <c r="K94" s="19">
        <f t="shared" si="7"/>
        <v>5050</v>
      </c>
      <c r="L94" s="19">
        <f t="shared" si="5"/>
        <v>15450</v>
      </c>
      <c r="M94" s="24" t="s">
        <v>23</v>
      </c>
    </row>
    <row r="95" spans="1:13" s="1" customFormat="1" ht="25" customHeight="1">
      <c r="A95" s="8">
        <v>92</v>
      </c>
      <c r="B95" s="9" t="s">
        <v>110</v>
      </c>
      <c r="C95" s="19">
        <v>0</v>
      </c>
      <c r="D95" s="19">
        <f>5250+5250</f>
        <v>10500</v>
      </c>
      <c r="E95" s="19">
        <v>0</v>
      </c>
      <c r="F95" s="19">
        <v>0</v>
      </c>
      <c r="G95" s="19">
        <f t="shared" si="6"/>
        <v>10500</v>
      </c>
      <c r="H95" s="19">
        <v>0</v>
      </c>
      <c r="I95" s="19">
        <v>0</v>
      </c>
      <c r="J95" s="19">
        <v>0</v>
      </c>
      <c r="K95" s="19">
        <f t="shared" si="7"/>
        <v>0</v>
      </c>
      <c r="L95" s="19">
        <f t="shared" si="5"/>
        <v>10500</v>
      </c>
      <c r="M95" s="24"/>
    </row>
    <row r="96" spans="1:13" s="1" customFormat="1" ht="25" customHeight="1">
      <c r="A96" s="8">
        <v>93</v>
      </c>
      <c r="B96" s="21" t="s">
        <v>111</v>
      </c>
      <c r="C96" s="19">
        <f>6000</f>
        <v>6000</v>
      </c>
      <c r="D96" s="19">
        <v>0</v>
      </c>
      <c r="E96" s="19">
        <v>0</v>
      </c>
      <c r="F96" s="19">
        <v>0</v>
      </c>
      <c r="G96" s="19">
        <f t="shared" si="6"/>
        <v>6000</v>
      </c>
      <c r="H96" s="19">
        <v>0</v>
      </c>
      <c r="I96" s="19">
        <v>0</v>
      </c>
      <c r="J96" s="19">
        <v>0</v>
      </c>
      <c r="K96" s="19">
        <f t="shared" si="7"/>
        <v>0</v>
      </c>
      <c r="L96" s="19">
        <f t="shared" si="5"/>
        <v>6000</v>
      </c>
      <c r="M96" s="24"/>
    </row>
    <row r="97" spans="1:13" s="1" customFormat="1" ht="25" customHeight="1">
      <c r="A97" s="8">
        <v>94</v>
      </c>
      <c r="B97" s="9" t="s">
        <v>112</v>
      </c>
      <c r="C97" s="19">
        <v>5700</v>
      </c>
      <c r="D97" s="19">
        <v>0</v>
      </c>
      <c r="E97" s="19">
        <v>0</v>
      </c>
      <c r="F97" s="19">
        <v>0</v>
      </c>
      <c r="G97" s="19">
        <f t="shared" si="6"/>
        <v>5700</v>
      </c>
      <c r="H97" s="19">
        <v>1900</v>
      </c>
      <c r="I97" s="19">
        <v>0</v>
      </c>
      <c r="J97" s="19">
        <v>0</v>
      </c>
      <c r="K97" s="19">
        <f t="shared" si="7"/>
        <v>1900</v>
      </c>
      <c r="L97" s="19">
        <f t="shared" si="5"/>
        <v>3800</v>
      </c>
      <c r="M97" s="24" t="s">
        <v>18</v>
      </c>
    </row>
    <row r="98" spans="1:13" s="1" customFormat="1" ht="25" customHeight="1">
      <c r="A98" s="8">
        <v>95</v>
      </c>
      <c r="B98" s="9" t="s">
        <v>113</v>
      </c>
      <c r="C98" s="19">
        <v>2400</v>
      </c>
      <c r="D98" s="19">
        <v>7350</v>
      </c>
      <c r="E98" s="19">
        <v>0</v>
      </c>
      <c r="F98" s="19">
        <v>0</v>
      </c>
      <c r="G98" s="19">
        <f t="shared" si="6"/>
        <v>9750</v>
      </c>
      <c r="H98" s="19">
        <v>800</v>
      </c>
      <c r="I98" s="19">
        <v>0</v>
      </c>
      <c r="J98" s="19">
        <v>0</v>
      </c>
      <c r="K98" s="19">
        <f t="shared" si="7"/>
        <v>800</v>
      </c>
      <c r="L98" s="19">
        <f t="shared" si="5"/>
        <v>8950</v>
      </c>
      <c r="M98" s="24" t="s">
        <v>18</v>
      </c>
    </row>
    <row r="99" spans="1:13" s="1" customFormat="1" ht="25" customHeight="1">
      <c r="A99" s="8">
        <v>96</v>
      </c>
      <c r="B99" s="9" t="s">
        <v>114</v>
      </c>
      <c r="C99" s="19">
        <v>0</v>
      </c>
      <c r="D99" s="19">
        <v>9800</v>
      </c>
      <c r="E99" s="19">
        <v>0</v>
      </c>
      <c r="F99" s="19">
        <v>0</v>
      </c>
      <c r="G99" s="19">
        <f t="shared" si="6"/>
        <v>9800</v>
      </c>
      <c r="H99" s="19">
        <v>0</v>
      </c>
      <c r="I99" s="19">
        <v>0</v>
      </c>
      <c r="J99" s="19">
        <v>0</v>
      </c>
      <c r="K99" s="19">
        <f t="shared" si="7"/>
        <v>0</v>
      </c>
      <c r="L99" s="19">
        <f t="shared" si="5"/>
        <v>9800</v>
      </c>
      <c r="M99" s="24"/>
    </row>
    <row r="100" spans="1:13" s="1" customFormat="1" ht="25" customHeight="1">
      <c r="A100" s="8">
        <v>97</v>
      </c>
      <c r="B100" s="9" t="s">
        <v>115</v>
      </c>
      <c r="C100" s="19">
        <f>2000+2400+400+1200</f>
        <v>6000</v>
      </c>
      <c r="D100" s="19">
        <v>7000</v>
      </c>
      <c r="E100" s="19">
        <v>0</v>
      </c>
      <c r="F100" s="19">
        <v>0</v>
      </c>
      <c r="G100" s="19">
        <f t="shared" si="6"/>
        <v>13000</v>
      </c>
      <c r="H100" s="19">
        <v>0</v>
      </c>
      <c r="I100" s="19">
        <v>0</v>
      </c>
      <c r="J100" s="19">
        <v>0</v>
      </c>
      <c r="K100" s="19">
        <f t="shared" si="7"/>
        <v>0</v>
      </c>
      <c r="L100" s="19">
        <f t="shared" si="5"/>
        <v>13000</v>
      </c>
      <c r="M100" s="24"/>
    </row>
    <row r="101" spans="1:13" s="1" customFormat="1" ht="25" customHeight="1">
      <c r="A101" s="8">
        <v>98</v>
      </c>
      <c r="B101" s="9" t="s">
        <v>116</v>
      </c>
      <c r="C101" s="19">
        <f>3760+4136+3784+9000+4324+6768+6204+2820+4512+3384+1692+7308+9500+9500+9500+1316+9500+2068+9400+1880+5452+1316+2068+1316+1128+1692+2632</f>
        <v>125960</v>
      </c>
      <c r="D101" s="19">
        <v>0</v>
      </c>
      <c r="E101" s="19">
        <f>2400+2400+8400</f>
        <v>13200</v>
      </c>
      <c r="F101" s="19">
        <v>0</v>
      </c>
      <c r="G101" s="19">
        <f t="shared" si="6"/>
        <v>139160</v>
      </c>
      <c r="H101" s="19">
        <v>0</v>
      </c>
      <c r="I101" s="19">
        <v>0</v>
      </c>
      <c r="J101" s="19">
        <v>0</v>
      </c>
      <c r="K101" s="19">
        <f t="shared" si="7"/>
        <v>0</v>
      </c>
      <c r="L101" s="19">
        <f t="shared" si="5"/>
        <v>139160</v>
      </c>
      <c r="M101" s="24"/>
    </row>
    <row r="102" spans="1:13" s="1" customFormat="1" ht="25" customHeight="1">
      <c r="A102" s="8">
        <v>99</v>
      </c>
      <c r="B102" s="18" t="s">
        <v>117</v>
      </c>
      <c r="C102" s="19">
        <f>3000+300+1000</f>
        <v>4300</v>
      </c>
      <c r="D102" s="19">
        <f>1750+3500</f>
        <v>5250</v>
      </c>
      <c r="E102" s="19">
        <v>0</v>
      </c>
      <c r="F102" s="19">
        <v>0</v>
      </c>
      <c r="G102" s="19">
        <f aca="true" t="shared" si="8" ref="G102:G128">C102+D102+E102+F102</f>
        <v>9550</v>
      </c>
      <c r="H102" s="19">
        <v>1100</v>
      </c>
      <c r="I102" s="19">
        <v>3500</v>
      </c>
      <c r="J102" s="19">
        <f>0</f>
        <v>0</v>
      </c>
      <c r="K102" s="19">
        <f aca="true" t="shared" si="9" ref="K102:K130">H102+I102+J102</f>
        <v>4600</v>
      </c>
      <c r="L102" s="19">
        <f t="shared" si="5"/>
        <v>4950</v>
      </c>
      <c r="M102" s="24" t="s">
        <v>23</v>
      </c>
    </row>
    <row r="103" spans="1:13" s="1" customFormat="1" ht="25" customHeight="1">
      <c r="A103" s="8">
        <v>100</v>
      </c>
      <c r="B103" s="9" t="s">
        <v>20</v>
      </c>
      <c r="C103" s="19">
        <v>0</v>
      </c>
      <c r="D103" s="19">
        <v>0</v>
      </c>
      <c r="E103" s="19">
        <v>600</v>
      </c>
      <c r="F103" s="19">
        <v>0</v>
      </c>
      <c r="G103" s="19">
        <f t="shared" si="8"/>
        <v>600</v>
      </c>
      <c r="H103" s="19">
        <v>0</v>
      </c>
      <c r="I103" s="19"/>
      <c r="J103" s="19">
        <v>600</v>
      </c>
      <c r="K103" s="19">
        <f t="shared" si="9"/>
        <v>600</v>
      </c>
      <c r="L103" s="19">
        <f t="shared" si="5"/>
        <v>0</v>
      </c>
      <c r="M103" s="24" t="s">
        <v>118</v>
      </c>
    </row>
    <row r="104" spans="1:13" s="1" customFormat="1" ht="25" customHeight="1">
      <c r="A104" s="8">
        <v>101</v>
      </c>
      <c r="B104" s="21" t="s">
        <v>119</v>
      </c>
      <c r="C104" s="19">
        <v>0</v>
      </c>
      <c r="D104" s="19">
        <v>6750</v>
      </c>
      <c r="E104" s="19">
        <v>0</v>
      </c>
      <c r="F104" s="19">
        <v>0</v>
      </c>
      <c r="G104" s="19">
        <f t="shared" si="8"/>
        <v>6750</v>
      </c>
      <c r="H104" s="19">
        <v>0</v>
      </c>
      <c r="I104" s="19">
        <v>450</v>
      </c>
      <c r="J104" s="19">
        <v>0</v>
      </c>
      <c r="K104" s="19">
        <f t="shared" si="9"/>
        <v>450</v>
      </c>
      <c r="L104" s="19">
        <f t="shared" si="5"/>
        <v>6300</v>
      </c>
      <c r="M104" s="24" t="s">
        <v>34</v>
      </c>
    </row>
    <row r="105" spans="1:13" s="1" customFormat="1" ht="25" customHeight="1">
      <c r="A105" s="8">
        <v>102</v>
      </c>
      <c r="B105" s="9" t="s">
        <v>120</v>
      </c>
      <c r="C105" s="19">
        <v>0</v>
      </c>
      <c r="D105" s="19">
        <v>0</v>
      </c>
      <c r="E105" s="19">
        <f>600+1950+1050+1200+3300+12750+750+15750</f>
        <v>37350</v>
      </c>
      <c r="F105" s="19">
        <f>2000+2000+10400</f>
        <v>14400</v>
      </c>
      <c r="G105" s="19">
        <f t="shared" si="8"/>
        <v>51750</v>
      </c>
      <c r="H105" s="19">
        <v>0</v>
      </c>
      <c r="I105" s="19"/>
      <c r="J105" s="19">
        <v>0</v>
      </c>
      <c r="K105" s="19">
        <f t="shared" si="9"/>
        <v>0</v>
      </c>
      <c r="L105" s="19">
        <f t="shared" si="5"/>
        <v>51750</v>
      </c>
      <c r="M105" s="24"/>
    </row>
    <row r="106" spans="1:13" s="1" customFormat="1" ht="25" customHeight="1">
      <c r="A106" s="8">
        <v>103</v>
      </c>
      <c r="B106" s="9" t="s">
        <v>121</v>
      </c>
      <c r="C106" s="19">
        <f>3100</f>
        <v>3100</v>
      </c>
      <c r="D106" s="19">
        <f>3850+4900+2100</f>
        <v>10850</v>
      </c>
      <c r="E106" s="19">
        <v>0</v>
      </c>
      <c r="F106" s="19">
        <v>0</v>
      </c>
      <c r="G106" s="19">
        <f t="shared" si="8"/>
        <v>13950</v>
      </c>
      <c r="H106" s="19">
        <v>700</v>
      </c>
      <c r="I106" s="19">
        <v>0</v>
      </c>
      <c r="J106" s="19">
        <v>0</v>
      </c>
      <c r="K106" s="19">
        <f t="shared" si="9"/>
        <v>700</v>
      </c>
      <c r="L106" s="19">
        <f t="shared" si="5"/>
        <v>13250</v>
      </c>
      <c r="M106" s="24" t="s">
        <v>18</v>
      </c>
    </row>
    <row r="107" spans="1:13" s="1" customFormat="1" ht="25" customHeight="1">
      <c r="A107" s="8">
        <v>104</v>
      </c>
      <c r="B107" s="9" t="s">
        <v>122</v>
      </c>
      <c r="C107" s="19">
        <f>2400+2000+400+2800+1800+3400+3800+800+2000+900+9000</f>
        <v>29300</v>
      </c>
      <c r="D107" s="19">
        <f>1800+6600+3500+3500+1500+9000+3000+1200+3000</f>
        <v>33100</v>
      </c>
      <c r="E107" s="19">
        <v>0</v>
      </c>
      <c r="F107" s="19">
        <v>0</v>
      </c>
      <c r="G107" s="19">
        <f t="shared" si="8"/>
        <v>62400</v>
      </c>
      <c r="H107" s="19">
        <v>3300</v>
      </c>
      <c r="I107" s="19">
        <v>0</v>
      </c>
      <c r="J107" s="19">
        <v>0</v>
      </c>
      <c r="K107" s="19">
        <f t="shared" si="9"/>
        <v>3300</v>
      </c>
      <c r="L107" s="19">
        <f t="shared" si="5"/>
        <v>59100</v>
      </c>
      <c r="M107" s="24" t="s">
        <v>18</v>
      </c>
    </row>
    <row r="108" spans="1:13" s="1" customFormat="1" ht="25" customHeight="1">
      <c r="A108" s="8">
        <v>105</v>
      </c>
      <c r="B108" s="9" t="s">
        <v>123</v>
      </c>
      <c r="C108" s="19">
        <f>3200+6400</f>
        <v>9600</v>
      </c>
      <c r="D108" s="19">
        <f>6650+5250+8050+1050+1400</f>
        <v>22400</v>
      </c>
      <c r="E108" s="19">
        <v>0</v>
      </c>
      <c r="F108" s="19">
        <v>0</v>
      </c>
      <c r="G108" s="19">
        <f t="shared" si="8"/>
        <v>32000</v>
      </c>
      <c r="H108" s="19">
        <v>0</v>
      </c>
      <c r="I108" s="19">
        <v>0</v>
      </c>
      <c r="J108" s="19">
        <v>0</v>
      </c>
      <c r="K108" s="19">
        <f t="shared" si="9"/>
        <v>0</v>
      </c>
      <c r="L108" s="19">
        <f t="shared" si="5"/>
        <v>32000</v>
      </c>
      <c r="M108" s="24"/>
    </row>
    <row r="109" spans="1:13" s="1" customFormat="1" ht="25" customHeight="1">
      <c r="A109" s="8">
        <v>106</v>
      </c>
      <c r="B109" s="9" t="s">
        <v>124</v>
      </c>
      <c r="C109" s="19">
        <v>0</v>
      </c>
      <c r="D109" s="19">
        <f>10500</f>
        <v>10500</v>
      </c>
      <c r="E109" s="19">
        <v>0</v>
      </c>
      <c r="F109" s="19">
        <v>0</v>
      </c>
      <c r="G109" s="19">
        <f t="shared" si="8"/>
        <v>10500</v>
      </c>
      <c r="H109" s="19">
        <v>0</v>
      </c>
      <c r="I109" s="19">
        <v>0</v>
      </c>
      <c r="J109" s="19">
        <v>0</v>
      </c>
      <c r="K109" s="19">
        <f t="shared" si="9"/>
        <v>0</v>
      </c>
      <c r="L109" s="19">
        <f t="shared" si="5"/>
        <v>10500</v>
      </c>
      <c r="M109" s="24"/>
    </row>
    <row r="110" spans="1:13" s="1" customFormat="1" ht="25" customHeight="1">
      <c r="A110" s="8">
        <v>107</v>
      </c>
      <c r="B110" s="9" t="s">
        <v>125</v>
      </c>
      <c r="C110" s="19">
        <f>2100</f>
        <v>2100</v>
      </c>
      <c r="D110" s="19">
        <f>4350+4000</f>
        <v>8350</v>
      </c>
      <c r="E110" s="19">
        <v>0</v>
      </c>
      <c r="F110" s="19">
        <v>0</v>
      </c>
      <c r="G110" s="19">
        <f t="shared" si="8"/>
        <v>10450</v>
      </c>
      <c r="H110" s="19">
        <v>700</v>
      </c>
      <c r="I110" s="19">
        <v>0</v>
      </c>
      <c r="J110" s="19">
        <v>0</v>
      </c>
      <c r="K110" s="19">
        <f t="shared" si="9"/>
        <v>700</v>
      </c>
      <c r="L110" s="19">
        <f t="shared" si="5"/>
        <v>9750</v>
      </c>
      <c r="M110" s="24" t="s">
        <v>18</v>
      </c>
    </row>
    <row r="111" spans="1:13" s="1" customFormat="1" ht="25" customHeight="1">
      <c r="A111" s="8">
        <v>108</v>
      </c>
      <c r="B111" s="9" t="s">
        <v>126</v>
      </c>
      <c r="C111" s="19">
        <f>12300</f>
        <v>12300</v>
      </c>
      <c r="D111" s="19">
        <f>9450+9450</f>
        <v>18900</v>
      </c>
      <c r="E111" s="19">
        <v>0</v>
      </c>
      <c r="F111" s="19">
        <v>0</v>
      </c>
      <c r="G111" s="19">
        <f t="shared" si="8"/>
        <v>31200</v>
      </c>
      <c r="H111" s="19">
        <v>4100</v>
      </c>
      <c r="I111" s="19">
        <v>0</v>
      </c>
      <c r="J111" s="19">
        <v>0</v>
      </c>
      <c r="K111" s="19">
        <f t="shared" si="9"/>
        <v>4100</v>
      </c>
      <c r="L111" s="19">
        <f t="shared" si="5"/>
        <v>27100</v>
      </c>
      <c r="M111" s="24" t="s">
        <v>18</v>
      </c>
    </row>
    <row r="112" spans="1:13" s="1" customFormat="1" ht="25" customHeight="1">
      <c r="A112" s="8">
        <v>109</v>
      </c>
      <c r="B112" s="9" t="s">
        <v>127</v>
      </c>
      <c r="C112" s="19">
        <v>0</v>
      </c>
      <c r="D112" s="19">
        <f>2600+7000</f>
        <v>9600</v>
      </c>
      <c r="E112" s="19">
        <v>0</v>
      </c>
      <c r="F112" s="19">
        <v>0</v>
      </c>
      <c r="G112" s="19">
        <f t="shared" si="8"/>
        <v>9600</v>
      </c>
      <c r="H112" s="19">
        <v>0</v>
      </c>
      <c r="I112" s="19">
        <v>0</v>
      </c>
      <c r="J112" s="19">
        <v>0</v>
      </c>
      <c r="K112" s="19">
        <f t="shared" si="9"/>
        <v>0</v>
      </c>
      <c r="L112" s="19">
        <f t="shared" si="5"/>
        <v>9600</v>
      </c>
      <c r="M112" s="24"/>
    </row>
    <row r="113" spans="1:13" s="1" customFormat="1" ht="25" customHeight="1">
      <c r="A113" s="8">
        <v>110</v>
      </c>
      <c r="B113" s="9" t="s">
        <v>128</v>
      </c>
      <c r="C113" s="19">
        <v>0</v>
      </c>
      <c r="D113" s="19">
        <v>0</v>
      </c>
      <c r="E113" s="19">
        <f>450+400+300+500+100+100+100+100+100+200+500+400+100+400+200+400+100+900+1600+1900+400+1100+500+400+300+100+100+600+700+600+500+300+200+100+500+200+500+400+100+300+100+200+300+900+500+100+300+1400+300+400+100+200+500+300+100+100+400+700+700+400+400</f>
        <v>25150</v>
      </c>
      <c r="F113" s="19">
        <v>0</v>
      </c>
      <c r="G113" s="19">
        <f t="shared" si="8"/>
        <v>25150</v>
      </c>
      <c r="H113" s="19">
        <v>0</v>
      </c>
      <c r="I113" s="19">
        <v>0</v>
      </c>
      <c r="J113" s="19">
        <v>0</v>
      </c>
      <c r="K113" s="19">
        <f t="shared" si="9"/>
        <v>0</v>
      </c>
      <c r="L113" s="19">
        <f t="shared" si="5"/>
        <v>25150</v>
      </c>
      <c r="M113" s="24"/>
    </row>
    <row r="114" spans="1:13" s="1" customFormat="1" ht="25" customHeight="1">
      <c r="A114" s="8">
        <v>111</v>
      </c>
      <c r="B114" s="21" t="s">
        <v>129</v>
      </c>
      <c r="C114" s="19">
        <f>1200+6600+3400+1500</f>
        <v>12700</v>
      </c>
      <c r="D114" s="19">
        <f>8750</f>
        <v>8750</v>
      </c>
      <c r="E114" s="19">
        <v>0</v>
      </c>
      <c r="F114" s="19">
        <v>0</v>
      </c>
      <c r="G114" s="19">
        <f t="shared" si="8"/>
        <v>21450</v>
      </c>
      <c r="H114" s="19">
        <v>3500</v>
      </c>
      <c r="I114" s="19">
        <v>0</v>
      </c>
      <c r="J114" s="19">
        <v>0</v>
      </c>
      <c r="K114" s="19">
        <f t="shared" si="9"/>
        <v>3500</v>
      </c>
      <c r="L114" s="19">
        <f t="shared" si="5"/>
        <v>17950</v>
      </c>
      <c r="M114" s="24" t="s">
        <v>18</v>
      </c>
    </row>
    <row r="115" spans="1:13" s="1" customFormat="1" ht="25" customHeight="1">
      <c r="A115" s="8">
        <v>112</v>
      </c>
      <c r="B115" s="9" t="s">
        <v>130</v>
      </c>
      <c r="C115" s="19">
        <v>0</v>
      </c>
      <c r="D115" s="19">
        <f>4200+700</f>
        <v>4900</v>
      </c>
      <c r="E115" s="19">
        <v>0</v>
      </c>
      <c r="F115" s="4">
        <v>0</v>
      </c>
      <c r="G115" s="19">
        <f t="shared" si="8"/>
        <v>4900</v>
      </c>
      <c r="H115" s="19">
        <v>0</v>
      </c>
      <c r="I115" s="19">
        <v>0</v>
      </c>
      <c r="J115" s="19">
        <v>0</v>
      </c>
      <c r="K115" s="19">
        <f t="shared" si="9"/>
        <v>0</v>
      </c>
      <c r="L115" s="19">
        <f t="shared" si="5"/>
        <v>4900</v>
      </c>
      <c r="M115" s="24"/>
    </row>
    <row r="116" spans="1:13" s="1" customFormat="1" ht="25" customHeight="1">
      <c r="A116" s="8">
        <v>113</v>
      </c>
      <c r="B116" s="9" t="s">
        <v>131</v>
      </c>
      <c r="C116" s="19">
        <f>8400</f>
        <v>8400</v>
      </c>
      <c r="D116" s="19">
        <f>350+1750+4550+3500</f>
        <v>10150</v>
      </c>
      <c r="E116" s="19">
        <v>0</v>
      </c>
      <c r="F116" s="19">
        <v>0</v>
      </c>
      <c r="G116" s="19">
        <f t="shared" si="8"/>
        <v>18550</v>
      </c>
      <c r="H116" s="19">
        <v>2800</v>
      </c>
      <c r="I116" s="19">
        <v>0</v>
      </c>
      <c r="J116" s="19">
        <v>0</v>
      </c>
      <c r="K116" s="19">
        <f t="shared" si="9"/>
        <v>2800</v>
      </c>
      <c r="L116" s="19">
        <f t="shared" si="5"/>
        <v>15750</v>
      </c>
      <c r="M116" s="24" t="s">
        <v>18</v>
      </c>
    </row>
    <row r="117" spans="1:13" s="1" customFormat="1" ht="25" customHeight="1">
      <c r="A117" s="8">
        <v>114</v>
      </c>
      <c r="B117" s="9" t="s">
        <v>132</v>
      </c>
      <c r="C117" s="19">
        <f>9600</f>
        <v>9600</v>
      </c>
      <c r="D117" s="19">
        <f>2800</f>
        <v>2800</v>
      </c>
      <c r="E117" s="19">
        <v>0</v>
      </c>
      <c r="F117" s="19">
        <v>0</v>
      </c>
      <c r="G117" s="19">
        <f t="shared" si="8"/>
        <v>12400</v>
      </c>
      <c r="H117" s="19">
        <v>3200</v>
      </c>
      <c r="I117" s="19">
        <v>0</v>
      </c>
      <c r="J117" s="19">
        <v>0</v>
      </c>
      <c r="K117" s="19">
        <f t="shared" si="9"/>
        <v>3200</v>
      </c>
      <c r="L117" s="19">
        <f t="shared" si="5"/>
        <v>9200</v>
      </c>
      <c r="M117" s="24" t="s">
        <v>18</v>
      </c>
    </row>
    <row r="118" spans="1:13" s="1" customFormat="1" ht="25" customHeight="1">
      <c r="A118" s="8">
        <v>115</v>
      </c>
      <c r="B118" s="21" t="s">
        <v>133</v>
      </c>
      <c r="C118" s="19">
        <v>1200</v>
      </c>
      <c r="D118" s="19">
        <f>7000+3500</f>
        <v>10500</v>
      </c>
      <c r="E118" s="19">
        <v>0</v>
      </c>
      <c r="F118" s="19">
        <v>0</v>
      </c>
      <c r="G118" s="19">
        <f t="shared" si="8"/>
        <v>11700</v>
      </c>
      <c r="H118" s="19">
        <v>0</v>
      </c>
      <c r="I118" s="19">
        <v>0</v>
      </c>
      <c r="J118" s="19">
        <v>0</v>
      </c>
      <c r="K118" s="19">
        <f t="shared" si="9"/>
        <v>0</v>
      </c>
      <c r="L118" s="19">
        <f t="shared" si="5"/>
        <v>11700</v>
      </c>
      <c r="M118" s="24"/>
    </row>
    <row r="119" spans="1:13" s="1" customFormat="1" ht="25" customHeight="1">
      <c r="A119" s="8">
        <v>116</v>
      </c>
      <c r="B119" s="9" t="s">
        <v>134</v>
      </c>
      <c r="C119" s="19">
        <f>13200</f>
        <v>13200</v>
      </c>
      <c r="D119" s="19">
        <v>0</v>
      </c>
      <c r="E119" s="19">
        <v>0</v>
      </c>
      <c r="F119" s="19">
        <v>0</v>
      </c>
      <c r="G119" s="19">
        <f t="shared" si="8"/>
        <v>13200</v>
      </c>
      <c r="H119" s="19">
        <v>4400</v>
      </c>
      <c r="I119" s="19">
        <v>0</v>
      </c>
      <c r="J119" s="19">
        <v>0</v>
      </c>
      <c r="K119" s="19">
        <f t="shared" si="9"/>
        <v>4400</v>
      </c>
      <c r="L119" s="19">
        <f t="shared" si="5"/>
        <v>8800</v>
      </c>
      <c r="M119" s="24" t="s">
        <v>18</v>
      </c>
    </row>
    <row r="120" spans="1:13" s="1" customFormat="1" ht="25" customHeight="1">
      <c r="A120" s="8">
        <v>117</v>
      </c>
      <c r="B120" s="9" t="s">
        <v>135</v>
      </c>
      <c r="C120" s="19">
        <f>4000+4800+3600+2000+2400+1880+564</f>
        <v>19244</v>
      </c>
      <c r="D120" s="19">
        <v>0</v>
      </c>
      <c r="E120" s="19">
        <f>1500+1900</f>
        <v>3400</v>
      </c>
      <c r="F120" s="19">
        <v>0</v>
      </c>
      <c r="G120" s="19">
        <f t="shared" si="8"/>
        <v>22644</v>
      </c>
      <c r="H120" s="19">
        <v>0</v>
      </c>
      <c r="I120" s="19">
        <v>0</v>
      </c>
      <c r="J120" s="19">
        <v>0</v>
      </c>
      <c r="K120" s="19">
        <f t="shared" si="9"/>
        <v>0</v>
      </c>
      <c r="L120" s="19">
        <f t="shared" si="5"/>
        <v>22644</v>
      </c>
      <c r="M120" s="24"/>
    </row>
    <row r="121" spans="1:13" s="1" customFormat="1" ht="25" customHeight="1">
      <c r="A121" s="8">
        <v>118</v>
      </c>
      <c r="B121" s="9" t="s">
        <v>136</v>
      </c>
      <c r="C121" s="19">
        <v>0</v>
      </c>
      <c r="D121" s="19">
        <f>6650</f>
        <v>6650</v>
      </c>
      <c r="E121" s="19">
        <v>0</v>
      </c>
      <c r="F121" s="19">
        <v>0</v>
      </c>
      <c r="G121" s="19">
        <f t="shared" si="8"/>
        <v>6650</v>
      </c>
      <c r="H121" s="19">
        <v>0</v>
      </c>
      <c r="I121" s="19">
        <v>0</v>
      </c>
      <c r="J121" s="19">
        <v>0</v>
      </c>
      <c r="K121" s="19">
        <f t="shared" si="9"/>
        <v>0</v>
      </c>
      <c r="L121" s="19">
        <f t="shared" si="5"/>
        <v>6650</v>
      </c>
      <c r="M121" s="24"/>
    </row>
    <row r="122" spans="1:13" s="1" customFormat="1" ht="25" customHeight="1">
      <c r="A122" s="8">
        <v>119</v>
      </c>
      <c r="B122" s="9" t="s">
        <v>137</v>
      </c>
      <c r="C122" s="19">
        <v>0</v>
      </c>
      <c r="D122" s="19">
        <f>5250+5250+10000+7000</f>
        <v>27500</v>
      </c>
      <c r="E122" s="19">
        <v>0</v>
      </c>
      <c r="F122" s="19">
        <v>0</v>
      </c>
      <c r="G122" s="19">
        <f t="shared" si="8"/>
        <v>27500</v>
      </c>
      <c r="H122" s="19">
        <v>0</v>
      </c>
      <c r="I122" s="19">
        <f>20*150</f>
        <v>3000</v>
      </c>
      <c r="J122" s="19">
        <v>0</v>
      </c>
      <c r="K122" s="19">
        <f t="shared" si="9"/>
        <v>3000</v>
      </c>
      <c r="L122" s="19">
        <f t="shared" si="5"/>
        <v>24500</v>
      </c>
      <c r="M122" s="24" t="s">
        <v>34</v>
      </c>
    </row>
    <row r="123" spans="1:13" s="1" customFormat="1" ht="25" customHeight="1">
      <c r="A123" s="8">
        <v>120</v>
      </c>
      <c r="B123" s="18" t="s">
        <v>138</v>
      </c>
      <c r="C123" s="19">
        <f>1692+1800+2256+2444</f>
        <v>8192</v>
      </c>
      <c r="D123" s="19">
        <v>0</v>
      </c>
      <c r="E123" s="19">
        <f>1900+2200+400+500+200</f>
        <v>5200</v>
      </c>
      <c r="F123" s="19">
        <v>0</v>
      </c>
      <c r="G123" s="19">
        <f t="shared" si="8"/>
        <v>13392</v>
      </c>
      <c r="H123" s="19">
        <v>0</v>
      </c>
      <c r="I123" s="19">
        <v>0</v>
      </c>
      <c r="J123" s="19">
        <v>0</v>
      </c>
      <c r="K123" s="19">
        <f t="shared" si="9"/>
        <v>0</v>
      </c>
      <c r="L123" s="19">
        <f t="shared" si="5"/>
        <v>13392</v>
      </c>
      <c r="M123" s="24"/>
    </row>
    <row r="124" spans="1:13" s="1" customFormat="1" ht="25" customHeight="1">
      <c r="A124" s="8">
        <v>121</v>
      </c>
      <c r="B124" s="9" t="s">
        <v>139</v>
      </c>
      <c r="C124" s="19">
        <f>2600+1200+400+3800+3600+7200+8600+400+400+3000+400+600</f>
        <v>32200</v>
      </c>
      <c r="D124" s="19">
        <f>5250+5250+7250+5250+7500+1500+1500</f>
        <v>33500</v>
      </c>
      <c r="E124" s="19">
        <v>0</v>
      </c>
      <c r="F124" s="19">
        <v>0</v>
      </c>
      <c r="G124" s="19">
        <f t="shared" si="8"/>
        <v>65700</v>
      </c>
      <c r="H124" s="19">
        <v>3000</v>
      </c>
      <c r="I124" s="19">
        <f>25*150+15*150</f>
        <v>6000</v>
      </c>
      <c r="J124" s="19">
        <v>0</v>
      </c>
      <c r="K124" s="19">
        <f t="shared" si="9"/>
        <v>9000</v>
      </c>
      <c r="L124" s="19">
        <f t="shared" si="5"/>
        <v>56700</v>
      </c>
      <c r="M124" s="24" t="s">
        <v>23</v>
      </c>
    </row>
    <row r="125" spans="1:13" s="1" customFormat="1" ht="25" customHeight="1">
      <c r="A125" s="8">
        <v>122</v>
      </c>
      <c r="B125" s="9" t="s">
        <v>140</v>
      </c>
      <c r="C125" s="19">
        <v>0</v>
      </c>
      <c r="D125" s="19">
        <v>0</v>
      </c>
      <c r="E125" s="19">
        <f>200+100+200+100+600+500+600+1000+700+400+1500+4200+7500+1650+1500+150+450+1050</f>
        <v>22400</v>
      </c>
      <c r="F125" s="19">
        <v>0</v>
      </c>
      <c r="G125" s="19">
        <f t="shared" si="8"/>
        <v>22400</v>
      </c>
      <c r="H125" s="19">
        <v>0</v>
      </c>
      <c r="I125" s="19">
        <v>0</v>
      </c>
      <c r="J125" s="19">
        <v>0</v>
      </c>
      <c r="K125" s="19">
        <f t="shared" si="9"/>
        <v>0</v>
      </c>
      <c r="L125" s="19">
        <f t="shared" si="5"/>
        <v>22400</v>
      </c>
      <c r="M125" s="24"/>
    </row>
    <row r="126" spans="1:13" s="1" customFormat="1" ht="25" customHeight="1">
      <c r="A126" s="8">
        <v>123</v>
      </c>
      <c r="B126" s="9" t="s">
        <v>141</v>
      </c>
      <c r="C126" s="19">
        <f>6800+1400+1600+1800+1000+1000+800+2400+5400+3600+1400+200+800+3000+2000+1000+600</f>
        <v>34800</v>
      </c>
      <c r="D126" s="19">
        <v>0</v>
      </c>
      <c r="E126" s="19">
        <f>600+1700+5400+3450+2100</f>
        <v>13250</v>
      </c>
      <c r="F126" s="19">
        <v>0</v>
      </c>
      <c r="G126" s="19">
        <f t="shared" si="8"/>
        <v>48050</v>
      </c>
      <c r="H126" s="19">
        <v>0</v>
      </c>
      <c r="I126" s="19">
        <v>0</v>
      </c>
      <c r="J126" s="19">
        <v>0</v>
      </c>
      <c r="K126" s="19">
        <f t="shared" si="9"/>
        <v>0</v>
      </c>
      <c r="L126" s="19">
        <f t="shared" si="5"/>
        <v>48050</v>
      </c>
      <c r="M126" s="24"/>
    </row>
    <row r="127" spans="1:13" s="1" customFormat="1" ht="25" customHeight="1">
      <c r="A127" s="8">
        <v>124</v>
      </c>
      <c r="B127" s="9" t="s">
        <v>142</v>
      </c>
      <c r="C127" s="19">
        <v>0</v>
      </c>
      <c r="D127" s="19">
        <v>0</v>
      </c>
      <c r="E127" s="19">
        <f>450+800+300+200+400+200+100+300</f>
        <v>2750</v>
      </c>
      <c r="F127" s="19">
        <f>1400+7800+800</f>
        <v>10000</v>
      </c>
      <c r="G127" s="19">
        <f t="shared" si="8"/>
        <v>12750</v>
      </c>
      <c r="H127" s="19">
        <v>0</v>
      </c>
      <c r="I127" s="19">
        <v>0</v>
      </c>
      <c r="J127" s="19">
        <v>0</v>
      </c>
      <c r="K127" s="19">
        <f t="shared" si="9"/>
        <v>0</v>
      </c>
      <c r="L127" s="19">
        <f t="shared" si="5"/>
        <v>12750</v>
      </c>
      <c r="M127" s="24"/>
    </row>
    <row r="128" spans="1:13" s="1" customFormat="1" ht="25" customHeight="1">
      <c r="A128" s="8">
        <v>125</v>
      </c>
      <c r="B128" s="9" t="s">
        <v>143</v>
      </c>
      <c r="C128" s="19">
        <v>0</v>
      </c>
      <c r="D128" s="19">
        <f>5250+5250</f>
        <v>10500</v>
      </c>
      <c r="E128" s="19">
        <v>0</v>
      </c>
      <c r="F128" s="19">
        <v>0</v>
      </c>
      <c r="G128" s="19">
        <f t="shared" si="8"/>
        <v>10500</v>
      </c>
      <c r="H128" s="19">
        <v>0</v>
      </c>
      <c r="I128" s="19">
        <v>0</v>
      </c>
      <c r="J128" s="19">
        <v>0</v>
      </c>
      <c r="K128" s="19">
        <f t="shared" si="9"/>
        <v>0</v>
      </c>
      <c r="L128" s="19">
        <f t="shared" si="5"/>
        <v>10500</v>
      </c>
      <c r="M128" s="24"/>
    </row>
  </sheetData>
  <mergeCells count="8">
    <mergeCell ref="A1:M1"/>
    <mergeCell ref="C2:F2"/>
    <mergeCell ref="H2:K2"/>
    <mergeCell ref="A2:A3"/>
    <mergeCell ref="B2:B3"/>
    <mergeCell ref="G2:G3"/>
    <mergeCell ref="L2:L3"/>
    <mergeCell ref="M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nnn呐</cp:lastModifiedBy>
  <dcterms:created xsi:type="dcterms:W3CDTF">2021-09-09T06:30:00Z</dcterms:created>
  <dcterms:modified xsi:type="dcterms:W3CDTF">2021-09-14T03:00:39Z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0C8A0D2CD22E419EA7387558737B0201</vt:lpwstr>
  </property>
</Properties>
</file>